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330" tabRatio="781" firstSheet="15" activeTab="15"/>
  </bookViews>
  <sheets>
    <sheet name="титул ІІ кв" sheetId="6" state="hidden" r:id="rId1"/>
    <sheet name="звіт 6 міс" sheetId="7" state="hidden" r:id="rId2"/>
    <sheet name="показники 6 міс" sheetId="11" state="hidden" r:id="rId3"/>
    <sheet name="титул 9 міс" sheetId="12" state="hidden" r:id="rId4"/>
    <sheet name="звіт 9 міс" sheetId="13" state="hidden" r:id="rId5"/>
    <sheet name="показники 9 міс" sheetId="14" state="hidden" r:id="rId6"/>
    <sheet name="2019" sheetId="15" r:id="rId7"/>
    <sheet name="звіт І кв" sheetId="16" state="hidden" r:id="rId8"/>
    <sheet name="показники І кв" sheetId="17" state="hidden" r:id="rId9"/>
    <sheet name="Лист4" sheetId="18" state="hidden" r:id="rId10"/>
    <sheet name="звіт ІІ кв" sheetId="19" state="hidden" r:id="rId11"/>
    <sheet name="показники ІІ кв" sheetId="20" state="hidden" r:id="rId12"/>
    <sheet name="звіт ІІІ кв" sheetId="21" state="hidden" r:id="rId13"/>
    <sheet name="показники ІІІ кв" sheetId="22" state="hidden" r:id="rId14"/>
    <sheet name="фін-ня І кварта 2019 року" sheetId="28" r:id="rId15"/>
    <sheet name="фін-ня ІІІ кварта 2019 року" sheetId="31" r:id="rId16"/>
    <sheet name="показники ІІІ кв 2019" sheetId="32" r:id="rId17"/>
  </sheets>
  <definedNames>
    <definedName name="_xlnm._FilterDatabase" localSheetId="2" hidden="1">'показники 6 міс'!$A$5:$C$250</definedName>
    <definedName name="_xlnm.Print_Area" localSheetId="6">'2019'!$A$1:$W$18</definedName>
    <definedName name="_xlnm.Print_Area" localSheetId="7">'звіт І кв'!$A$1:$L$96</definedName>
    <definedName name="_xlnm.Print_Area" localSheetId="10">'звіт ІІ кв'!$A$1:$L$100</definedName>
    <definedName name="_xlnm.Print_Area" localSheetId="12">'звіт ІІІ кв'!$A$1:$L$100</definedName>
    <definedName name="_xlnm.Print_Area" localSheetId="2">'показники 6 міс'!$A$1:$G$257</definedName>
    <definedName name="_xlnm.Print_Area" localSheetId="8">'показники І кв'!$A$1:$G$233</definedName>
    <definedName name="_xlnm.Print_Area" localSheetId="11">'показники ІІ кв'!$A$1:$G$233</definedName>
    <definedName name="_xlnm.Print_Area" localSheetId="13">'показники ІІІ кв'!$A$1:$G$233</definedName>
    <definedName name="_xlnm.Print_Area" localSheetId="0">'титул ІІ кв'!$A$1:$V$13</definedName>
    <definedName name="станвиконаннязаходів" localSheetId="2">'показники 6 міс'!$C:$C</definedName>
    <definedName name="станвиконаннязаходів" localSheetId="16">#REF!</definedName>
    <definedName name="станвиконаннязаходів" localSheetId="15">#REF!</definedName>
    <definedName name="станвиконаннязаходів">#REF!</definedName>
  </definedNames>
  <calcPr calcId="162913"/>
</workbook>
</file>

<file path=xl/calcChain.xml><?xml version="1.0" encoding="utf-8"?>
<calcChain xmlns="http://schemas.openxmlformats.org/spreadsheetml/2006/main">
  <c r="G72" i="31" l="1"/>
  <c r="E12" i="31"/>
  <c r="D114" i="32" l="1"/>
  <c r="D127" i="32"/>
  <c r="D89" i="32"/>
  <c r="F68" i="32"/>
  <c r="D189" i="32"/>
  <c r="E73" i="32" l="1"/>
  <c r="E68" i="32"/>
  <c r="D45" i="32"/>
  <c r="D130" i="32" l="1"/>
  <c r="D119" i="32"/>
  <c r="D194" i="32" l="1"/>
  <c r="D164" i="32"/>
  <c r="D167" i="32" s="1"/>
  <c r="D159" i="32"/>
  <c r="D154" i="32" l="1"/>
  <c r="D30" i="32"/>
  <c r="L49" i="31" l="1"/>
  <c r="L67" i="31"/>
  <c r="L62" i="31" s="1"/>
  <c r="L72" i="31"/>
  <c r="D110" i="32" l="1"/>
  <c r="D108" i="32"/>
  <c r="I18" i="31"/>
  <c r="D37" i="32" s="1"/>
  <c r="D39" i="32" s="1"/>
  <c r="F222" i="32" l="1"/>
  <c r="E222" i="32"/>
  <c r="F221" i="32"/>
  <c r="E221" i="32"/>
  <c r="F220" i="32"/>
  <c r="E220" i="32"/>
  <c r="F218" i="32"/>
  <c r="E218" i="32"/>
  <c r="F217" i="32"/>
  <c r="E217" i="32"/>
  <c r="F216" i="32"/>
  <c r="E216" i="32"/>
  <c r="F212" i="32"/>
  <c r="E212" i="32"/>
  <c r="F210" i="32"/>
  <c r="E210" i="32"/>
  <c r="F208" i="32"/>
  <c r="E208" i="32"/>
  <c r="F206" i="32"/>
  <c r="E206" i="32"/>
  <c r="F204" i="32"/>
  <c r="E204" i="32"/>
  <c r="F202" i="32"/>
  <c r="E202" i="32"/>
  <c r="F200" i="32"/>
  <c r="E200" i="32"/>
  <c r="F199" i="32"/>
  <c r="E199" i="32"/>
  <c r="F194" i="32"/>
  <c r="E194" i="32"/>
  <c r="F192" i="32"/>
  <c r="E192" i="32"/>
  <c r="F189" i="32"/>
  <c r="E189" i="32"/>
  <c r="F187" i="32"/>
  <c r="E187" i="32"/>
  <c r="F184" i="32"/>
  <c r="E184" i="32"/>
  <c r="E183" i="32"/>
  <c r="E182" i="32"/>
  <c r="D173" i="32"/>
  <c r="F173" i="32" s="1"/>
  <c r="F172" i="32"/>
  <c r="E172" i="32"/>
  <c r="F170" i="32"/>
  <c r="E170" i="32"/>
  <c r="F169" i="32"/>
  <c r="E169" i="32"/>
  <c r="F165" i="32"/>
  <c r="E165" i="32"/>
  <c r="F164" i="32"/>
  <c r="F159" i="32"/>
  <c r="F157" i="32"/>
  <c r="E157" i="32"/>
  <c r="E154" i="32"/>
  <c r="F152" i="32"/>
  <c r="E152" i="32"/>
  <c r="F150" i="32"/>
  <c r="E150" i="32"/>
  <c r="F148" i="32"/>
  <c r="E148" i="32"/>
  <c r="F146" i="32"/>
  <c r="E146" i="32"/>
  <c r="F144" i="32"/>
  <c r="E144" i="32"/>
  <c r="F140" i="32"/>
  <c r="E140" i="32"/>
  <c r="F138" i="32"/>
  <c r="E138" i="32"/>
  <c r="D135" i="32"/>
  <c r="E135" i="32" s="1"/>
  <c r="F133" i="32"/>
  <c r="E133" i="32"/>
  <c r="E130" i="32"/>
  <c r="F129" i="32"/>
  <c r="E129" i="32"/>
  <c r="F127" i="32"/>
  <c r="E127" i="32"/>
  <c r="F125" i="32"/>
  <c r="E125" i="32"/>
  <c r="D122" i="32"/>
  <c r="F122" i="32" s="1"/>
  <c r="F121" i="32"/>
  <c r="E121" i="32"/>
  <c r="F119" i="32"/>
  <c r="E118" i="32"/>
  <c r="D116" i="32"/>
  <c r="F116" i="32" s="1"/>
  <c r="F115" i="32"/>
  <c r="E115" i="32"/>
  <c r="F114" i="32"/>
  <c r="E114" i="32"/>
  <c r="F112" i="32"/>
  <c r="E112" i="32"/>
  <c r="F111" i="32"/>
  <c r="E111" i="32"/>
  <c r="C110" i="32"/>
  <c r="E110" i="32" s="1"/>
  <c r="F109" i="32"/>
  <c r="E109" i="32"/>
  <c r="D113" i="32"/>
  <c r="F104" i="32"/>
  <c r="E104" i="32"/>
  <c r="F102" i="32"/>
  <c r="F99" i="32"/>
  <c r="E99" i="32"/>
  <c r="F97" i="32"/>
  <c r="E97" i="32"/>
  <c r="F91" i="32"/>
  <c r="E91" i="32"/>
  <c r="F89" i="32"/>
  <c r="F87" i="32"/>
  <c r="E87" i="32"/>
  <c r="E84" i="32"/>
  <c r="F83" i="32"/>
  <c r="E83" i="32"/>
  <c r="D81" i="32"/>
  <c r="F81" i="32" s="1"/>
  <c r="D80" i="32"/>
  <c r="F80" i="32" s="1"/>
  <c r="F78" i="32"/>
  <c r="E78" i="32"/>
  <c r="F77" i="32"/>
  <c r="E77" i="32"/>
  <c r="F71" i="32"/>
  <c r="E71" i="32"/>
  <c r="F67" i="32"/>
  <c r="E67" i="32"/>
  <c r="F64" i="32"/>
  <c r="E64" i="32"/>
  <c r="F62" i="32"/>
  <c r="E62" i="32"/>
  <c r="D58" i="32"/>
  <c r="F58" i="32" s="1"/>
  <c r="F56" i="32"/>
  <c r="E56" i="32"/>
  <c r="E55" i="32"/>
  <c r="F54" i="32"/>
  <c r="E54" i="32"/>
  <c r="F53" i="32"/>
  <c r="E53" i="32"/>
  <c r="F50" i="32"/>
  <c r="E50" i="32"/>
  <c r="F48" i="32"/>
  <c r="E48" i="32"/>
  <c r="E45" i="32"/>
  <c r="F45" i="32"/>
  <c r="F43" i="32"/>
  <c r="E43" i="32"/>
  <c r="D40" i="32"/>
  <c r="F40" i="32" s="1"/>
  <c r="F38" i="32"/>
  <c r="E38" i="32"/>
  <c r="D35" i="32"/>
  <c r="F35" i="32" s="1"/>
  <c r="F33" i="32"/>
  <c r="E33" i="32"/>
  <c r="F30" i="32"/>
  <c r="F29" i="32"/>
  <c r="E29" i="32"/>
  <c r="D27" i="32"/>
  <c r="E27" i="32" s="1"/>
  <c r="D24" i="32"/>
  <c r="F24" i="32" s="1"/>
  <c r="F22" i="32"/>
  <c r="E22" i="32"/>
  <c r="D19" i="32"/>
  <c r="F19" i="32" s="1"/>
  <c r="F17" i="32"/>
  <c r="E17" i="32"/>
  <c r="D14" i="32"/>
  <c r="F14" i="32" s="1"/>
  <c r="F12" i="32"/>
  <c r="E12" i="32"/>
  <c r="I80" i="31"/>
  <c r="D215" i="32" s="1"/>
  <c r="E80" i="31"/>
  <c r="I79" i="31"/>
  <c r="E79" i="31"/>
  <c r="I78" i="31"/>
  <c r="E78" i="31"/>
  <c r="I77" i="31"/>
  <c r="E77" i="31"/>
  <c r="I76" i="31"/>
  <c r="E76" i="31"/>
  <c r="I75" i="31"/>
  <c r="E75" i="31"/>
  <c r="I74" i="31"/>
  <c r="E74" i="31"/>
  <c r="K72" i="31"/>
  <c r="J73" i="31"/>
  <c r="H73" i="31"/>
  <c r="F73" i="31"/>
  <c r="J72" i="31"/>
  <c r="F72" i="31"/>
  <c r="I71" i="31"/>
  <c r="D191" i="32" s="1"/>
  <c r="D193" i="32" s="1"/>
  <c r="E71" i="31"/>
  <c r="I70" i="31"/>
  <c r="D186" i="32" s="1"/>
  <c r="D188" i="32" s="1"/>
  <c r="E188" i="32" s="1"/>
  <c r="E70" i="31"/>
  <c r="I69" i="31"/>
  <c r="D181" i="32" s="1"/>
  <c r="E69" i="31"/>
  <c r="I68" i="31"/>
  <c r="E68" i="31"/>
  <c r="K67" i="31"/>
  <c r="J67" i="31"/>
  <c r="H67" i="31"/>
  <c r="H62" i="31" s="1"/>
  <c r="G67" i="31"/>
  <c r="F67" i="31"/>
  <c r="E67" i="31" s="1"/>
  <c r="I66" i="31"/>
  <c r="E66" i="31"/>
  <c r="I65" i="31"/>
  <c r="E65" i="31"/>
  <c r="I64" i="31"/>
  <c r="E64" i="31"/>
  <c r="K63" i="31"/>
  <c r="G63" i="31"/>
  <c r="F63" i="31"/>
  <c r="E63" i="31"/>
  <c r="I61" i="31"/>
  <c r="E61" i="31"/>
  <c r="I60" i="31"/>
  <c r="E60" i="31"/>
  <c r="I59" i="31"/>
  <c r="E59" i="31"/>
  <c r="I58" i="31"/>
  <c r="E58" i="31"/>
  <c r="I57" i="31"/>
  <c r="E57" i="31"/>
  <c r="I56" i="31"/>
  <c r="E56" i="31"/>
  <c r="J55" i="31"/>
  <c r="H55" i="31"/>
  <c r="F55" i="31"/>
  <c r="I54" i="31"/>
  <c r="E54" i="31"/>
  <c r="I53" i="31"/>
  <c r="E53" i="31"/>
  <c r="I52" i="31"/>
  <c r="E52" i="31"/>
  <c r="I51" i="31"/>
  <c r="E51" i="31"/>
  <c r="I50" i="31"/>
  <c r="E50" i="31"/>
  <c r="J49" i="31"/>
  <c r="H49" i="31"/>
  <c r="F49" i="31"/>
  <c r="E49" i="31" s="1"/>
  <c r="C137" i="32" s="1"/>
  <c r="C139" i="32" s="1"/>
  <c r="I48" i="31"/>
  <c r="D132" i="32" s="1"/>
  <c r="E48" i="31"/>
  <c r="C132" i="32" s="1"/>
  <c r="C134" i="32" s="1"/>
  <c r="I47" i="31"/>
  <c r="E47" i="31"/>
  <c r="I46" i="31"/>
  <c r="D124" i="32" s="1"/>
  <c r="D126" i="32" s="1"/>
  <c r="E126" i="32" s="1"/>
  <c r="E46" i="31"/>
  <c r="C124" i="32" s="1"/>
  <c r="I45" i="31"/>
  <c r="E45" i="31"/>
  <c r="I44" i="31"/>
  <c r="E44" i="31"/>
  <c r="I43" i="31"/>
  <c r="E43" i="31"/>
  <c r="K42" i="31"/>
  <c r="J42" i="31"/>
  <c r="F42" i="31"/>
  <c r="E42" i="31" s="1"/>
  <c r="I40" i="31"/>
  <c r="D101" i="32" s="1"/>
  <c r="E40" i="31"/>
  <c r="C101" i="32" s="1"/>
  <c r="C103" i="32" s="1"/>
  <c r="I39" i="31"/>
  <c r="E39" i="31"/>
  <c r="K38" i="31"/>
  <c r="J38" i="31"/>
  <c r="G38" i="31"/>
  <c r="F38" i="31"/>
  <c r="I37" i="31"/>
  <c r="E37" i="31"/>
  <c r="I36" i="31"/>
  <c r="E36" i="31"/>
  <c r="I35" i="31"/>
  <c r="E35" i="31"/>
  <c r="I34" i="31"/>
  <c r="E34" i="31"/>
  <c r="K33" i="31"/>
  <c r="J33" i="31"/>
  <c r="G33" i="31"/>
  <c r="F33" i="31"/>
  <c r="I32" i="31"/>
  <c r="E32" i="31"/>
  <c r="I31" i="31"/>
  <c r="D76" i="32" s="1"/>
  <c r="D79" i="32" s="1"/>
  <c r="E31" i="31"/>
  <c r="C76" i="32" s="1"/>
  <c r="C79" i="32" s="1"/>
  <c r="F30" i="31"/>
  <c r="I29" i="31"/>
  <c r="D70" i="32" s="1"/>
  <c r="D72" i="32" s="1"/>
  <c r="E29" i="31"/>
  <c r="C70" i="32" s="1"/>
  <c r="C72" i="32" s="1"/>
  <c r="I28" i="31"/>
  <c r="E28" i="31"/>
  <c r="I27" i="31"/>
  <c r="E27" i="31"/>
  <c r="I26" i="31"/>
  <c r="E26" i="31"/>
  <c r="L25" i="31"/>
  <c r="K25" i="31"/>
  <c r="J25" i="31"/>
  <c r="H25" i="31"/>
  <c r="G25" i="31"/>
  <c r="F25" i="31"/>
  <c r="I24" i="31"/>
  <c r="D52" i="32" s="1"/>
  <c r="E24" i="31"/>
  <c r="I23" i="31"/>
  <c r="E23" i="31"/>
  <c r="I22" i="31"/>
  <c r="E22" i="31"/>
  <c r="I21" i="31"/>
  <c r="E21" i="31"/>
  <c r="H20" i="31"/>
  <c r="F20" i="31"/>
  <c r="E20" i="31" s="1"/>
  <c r="I19" i="31"/>
  <c r="D42" i="32" s="1"/>
  <c r="D44" i="32" s="1"/>
  <c r="E19" i="31"/>
  <c r="C42" i="32" s="1"/>
  <c r="C44" i="32" s="1"/>
  <c r="E18" i="31"/>
  <c r="C37" i="32" s="1"/>
  <c r="C39" i="32" s="1"/>
  <c r="F39" i="32" s="1"/>
  <c r="I17" i="31"/>
  <c r="D32" i="32" s="1"/>
  <c r="D34" i="32" s="1"/>
  <c r="E17" i="31"/>
  <c r="C32" i="32" s="1"/>
  <c r="C34" i="32" s="1"/>
  <c r="I16" i="31"/>
  <c r="E16" i="31"/>
  <c r="I15" i="31"/>
  <c r="D26" i="32" s="1"/>
  <c r="E15" i="31"/>
  <c r="C26" i="32" s="1"/>
  <c r="I14" i="31"/>
  <c r="D21" i="32" s="1"/>
  <c r="E14" i="31"/>
  <c r="C21" i="32" s="1"/>
  <c r="C23" i="32" s="1"/>
  <c r="I13" i="31"/>
  <c r="D16" i="32" s="1"/>
  <c r="E13" i="31"/>
  <c r="C16" i="32" s="1"/>
  <c r="C18" i="32" s="1"/>
  <c r="I12" i="31"/>
  <c r="D11" i="32" s="1"/>
  <c r="C11" i="32"/>
  <c r="C13" i="32" s="1"/>
  <c r="K11" i="31"/>
  <c r="J11" i="31"/>
  <c r="G11" i="31"/>
  <c r="F11" i="31"/>
  <c r="F10" i="31"/>
  <c r="E11" i="31" l="1"/>
  <c r="F135" i="32"/>
  <c r="E122" i="32"/>
  <c r="F41" i="31"/>
  <c r="E41" i="31" s="1"/>
  <c r="H41" i="31"/>
  <c r="I38" i="31"/>
  <c r="D94" i="32" s="1"/>
  <c r="F132" i="32"/>
  <c r="E55" i="31"/>
  <c r="C142" i="32" s="1"/>
  <c r="C153" i="32" s="1"/>
  <c r="J41" i="31"/>
  <c r="G62" i="31"/>
  <c r="I67" i="31"/>
  <c r="D176" i="32" s="1"/>
  <c r="E16" i="32"/>
  <c r="F188" i="32"/>
  <c r="D158" i="32"/>
  <c r="F101" i="32"/>
  <c r="D103" i="32"/>
  <c r="F79" i="32"/>
  <c r="E79" i="32"/>
  <c r="E76" i="32"/>
  <c r="F70" i="32"/>
  <c r="C47" i="32"/>
  <c r="C49" i="32" s="1"/>
  <c r="C52" i="32"/>
  <c r="C57" i="32" s="1"/>
  <c r="F44" i="32"/>
  <c r="F34" i="32"/>
  <c r="E32" i="32"/>
  <c r="F26" i="32"/>
  <c r="E21" i="32"/>
  <c r="D23" i="32"/>
  <c r="F23" i="32" s="1"/>
  <c r="E72" i="31"/>
  <c r="E73" i="31"/>
  <c r="E33" i="31"/>
  <c r="C86" i="32" s="1"/>
  <c r="C88" i="32" s="1"/>
  <c r="E25" i="31"/>
  <c r="C60" i="32" s="1"/>
  <c r="C65" i="32" s="1"/>
  <c r="E11" i="32"/>
  <c r="H81" i="31"/>
  <c r="I11" i="31"/>
  <c r="L81" i="31"/>
  <c r="E80" i="32"/>
  <c r="E26" i="32"/>
  <c r="E101" i="32"/>
  <c r="E159" i="32"/>
  <c r="F154" i="32"/>
  <c r="E40" i="32"/>
  <c r="F130" i="32"/>
  <c r="E24" i="32"/>
  <c r="I73" i="31"/>
  <c r="D196" i="32" s="1"/>
  <c r="I55" i="31"/>
  <c r="D142" i="32" s="1"/>
  <c r="E142" i="32" s="1"/>
  <c r="I49" i="31"/>
  <c r="D137" i="32" s="1"/>
  <c r="D139" i="32" s="1"/>
  <c r="F139" i="32" s="1"/>
  <c r="F124" i="32"/>
  <c r="I42" i="31"/>
  <c r="I33" i="31"/>
  <c r="D86" i="32" s="1"/>
  <c r="D88" i="32" s="1"/>
  <c r="F42" i="32"/>
  <c r="E42" i="32"/>
  <c r="F32" i="32"/>
  <c r="F16" i="32"/>
  <c r="D18" i="32"/>
  <c r="F18" i="32" s="1"/>
  <c r="F21" i="32"/>
  <c r="F11" i="32"/>
  <c r="D13" i="32"/>
  <c r="F13" i="32" s="1"/>
  <c r="I25" i="31"/>
  <c r="D60" i="32" s="1"/>
  <c r="D134" i="32"/>
  <c r="E134" i="32" s="1"/>
  <c r="F76" i="32"/>
  <c r="D57" i="32"/>
  <c r="E38" i="31"/>
  <c r="C94" i="32" s="1"/>
  <c r="F94" i="32" s="1"/>
  <c r="E30" i="31"/>
  <c r="F126" i="32"/>
  <c r="E19" i="32"/>
  <c r="F27" i="32"/>
  <c r="E30" i="32"/>
  <c r="E35" i="32"/>
  <c r="E14" i="32"/>
  <c r="I72" i="31"/>
  <c r="K62" i="31"/>
  <c r="I30" i="31"/>
  <c r="E72" i="32"/>
  <c r="F72" i="32"/>
  <c r="E167" i="32"/>
  <c r="F167" i="32"/>
  <c r="E113" i="32"/>
  <c r="F113" i="32"/>
  <c r="E34" i="32"/>
  <c r="E39" i="32"/>
  <c r="E44" i="32"/>
  <c r="E58" i="32"/>
  <c r="E81" i="32"/>
  <c r="E89" i="32"/>
  <c r="E102" i="32"/>
  <c r="E116" i="32"/>
  <c r="E119" i="32"/>
  <c r="E173" i="32"/>
  <c r="E70" i="32"/>
  <c r="E124" i="32"/>
  <c r="E132" i="32"/>
  <c r="E164" i="32"/>
  <c r="I63" i="31"/>
  <c r="D162" i="32" s="1"/>
  <c r="F62" i="31"/>
  <c r="E62" i="31" s="1"/>
  <c r="J62" i="31"/>
  <c r="E23" i="32" l="1"/>
  <c r="F81" i="31"/>
  <c r="E52" i="32"/>
  <c r="F137" i="32"/>
  <c r="E139" i="32"/>
  <c r="F134" i="32"/>
  <c r="E103" i="32"/>
  <c r="F103" i="32"/>
  <c r="E94" i="32"/>
  <c r="D65" i="32"/>
  <c r="E65" i="32" s="1"/>
  <c r="F57" i="32"/>
  <c r="F52" i="32"/>
  <c r="E57" i="32"/>
  <c r="E18" i="32"/>
  <c r="E13" i="32"/>
  <c r="D209" i="32"/>
  <c r="E209" i="32" s="1"/>
  <c r="I41" i="31"/>
  <c r="D153" i="32"/>
  <c r="E153" i="32" s="1"/>
  <c r="F142" i="32"/>
  <c r="E137" i="32"/>
  <c r="E86" i="32"/>
  <c r="F86" i="32"/>
  <c r="D166" i="32"/>
  <c r="F65" i="32"/>
  <c r="F60" i="32"/>
  <c r="E60" i="32"/>
  <c r="K81" i="31"/>
  <c r="F92" i="31" s="1"/>
  <c r="I62" i="31"/>
  <c r="F209" i="32"/>
  <c r="I20" i="31"/>
  <c r="D47" i="32" s="1"/>
  <c r="G81" i="31"/>
  <c r="C92" i="31" s="1"/>
  <c r="E10" i="31"/>
  <c r="E81" i="31" s="1"/>
  <c r="D92" i="31"/>
  <c r="F153" i="32" l="1"/>
  <c r="E47" i="32"/>
  <c r="D49" i="32"/>
  <c r="F47" i="32"/>
  <c r="B92" i="31"/>
  <c r="I92" i="31"/>
  <c r="I10" i="31"/>
  <c r="I81" i="31" s="1"/>
  <c r="J81" i="31"/>
  <c r="G92" i="31" l="1"/>
  <c r="E92" i="31" s="1"/>
  <c r="H92" i="31" s="1"/>
  <c r="F49" i="32"/>
  <c r="E49" i="32"/>
  <c r="J92" i="31" l="1"/>
  <c r="D35" i="22"/>
  <c r="F37" i="32" l="1"/>
  <c r="E37" i="32"/>
  <c r="D70" i="17" l="1"/>
  <c r="L20" i="28"/>
  <c r="I21" i="28" s="1"/>
  <c r="K20" i="28"/>
  <c r="J20" i="28"/>
  <c r="I20" i="28" s="1"/>
  <c r="D113" i="20"/>
  <c r="G42" i="28"/>
  <c r="I14" i="28"/>
  <c r="F20" i="28" l="1"/>
  <c r="G20" i="28"/>
  <c r="H20" i="28"/>
  <c r="L73" i="28"/>
  <c r="L38" i="28"/>
  <c r="K38" i="28"/>
  <c r="J38" i="28"/>
  <c r="H38" i="28"/>
  <c r="I12" i="28" l="1"/>
  <c r="G73" i="28"/>
  <c r="G67" i="28"/>
  <c r="G63" i="28"/>
  <c r="G55" i="28"/>
  <c r="G49" i="28"/>
  <c r="F38" i="28"/>
  <c r="G38" i="28"/>
  <c r="J25" i="28"/>
  <c r="K25" i="28"/>
  <c r="L25" i="28"/>
  <c r="F25" i="28"/>
  <c r="G25" i="28"/>
  <c r="H25" i="28"/>
  <c r="G11" i="28"/>
  <c r="G10" i="28" l="1"/>
  <c r="J11" i="28"/>
  <c r="J10" i="28" s="1"/>
  <c r="K11" i="28"/>
  <c r="K10" i="28" s="1"/>
  <c r="F11" i="28"/>
  <c r="F10" i="28" s="1"/>
  <c r="L72" i="28"/>
  <c r="K73" i="28"/>
  <c r="K72" i="28" s="1"/>
  <c r="J73" i="28"/>
  <c r="J72" i="28" s="1"/>
  <c r="H73" i="28"/>
  <c r="H72" i="28" s="1"/>
  <c r="G72" i="28"/>
  <c r="F73" i="28"/>
  <c r="F72" i="28" s="1"/>
  <c r="L67" i="28"/>
  <c r="K67" i="28"/>
  <c r="J67" i="28"/>
  <c r="H67" i="28"/>
  <c r="F67" i="28"/>
  <c r="L63" i="28"/>
  <c r="K63" i="28"/>
  <c r="J63" i="28"/>
  <c r="H63" i="28"/>
  <c r="F63" i="28"/>
  <c r="G62" i="28"/>
  <c r="L55" i="28"/>
  <c r="K55" i="28"/>
  <c r="J55" i="28"/>
  <c r="H55" i="28"/>
  <c r="F55" i="28"/>
  <c r="J49" i="28"/>
  <c r="L49" i="28"/>
  <c r="K49" i="28"/>
  <c r="H49" i="28"/>
  <c r="F49" i="28"/>
  <c r="G41" i="28"/>
  <c r="L42" i="28"/>
  <c r="K42" i="28"/>
  <c r="J42" i="28"/>
  <c r="H42" i="28"/>
  <c r="F42" i="28"/>
  <c r="C108" i="32" s="1"/>
  <c r="E108" i="32" s="1"/>
  <c r="L33" i="28"/>
  <c r="L30" i="28" s="1"/>
  <c r="K33" i="28"/>
  <c r="K30" i="28" s="1"/>
  <c r="J33" i="28"/>
  <c r="H33" i="28"/>
  <c r="H30" i="28" s="1"/>
  <c r="G33" i="28"/>
  <c r="G30" i="28" s="1"/>
  <c r="F33" i="28"/>
  <c r="F30" i="28" s="1"/>
  <c r="J30" i="28"/>
  <c r="L11" i="28"/>
  <c r="H11" i="28"/>
  <c r="H10" i="28" s="1"/>
  <c r="H62" i="28" l="1"/>
  <c r="F62" i="28"/>
  <c r="J62" i="28"/>
  <c r="G81" i="28"/>
  <c r="H41" i="28"/>
  <c r="H81" i="28" s="1"/>
  <c r="J41" i="28"/>
  <c r="J81" i="28" s="1"/>
  <c r="F41" i="28"/>
  <c r="L62" i="28"/>
  <c r="K62" i="28"/>
  <c r="L41" i="28"/>
  <c r="K41" i="28"/>
  <c r="F81" i="28" l="1"/>
  <c r="K81" i="28"/>
  <c r="L10" i="28"/>
  <c r="I10" i="28" l="1"/>
  <c r="L81" i="28"/>
  <c r="I11" i="28" l="1"/>
  <c r="I13" i="28"/>
  <c r="I15" i="28"/>
  <c r="I16" i="28"/>
  <c r="I17" i="28"/>
  <c r="I18" i="28"/>
  <c r="I19" i="28"/>
  <c r="I22" i="28"/>
  <c r="I23" i="28"/>
  <c r="I24"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C92" i="28"/>
  <c r="F92"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C96" i="32" s="1"/>
  <c r="E40" i="28"/>
  <c r="E41" i="28"/>
  <c r="E42" i="28"/>
  <c r="E43" i="28"/>
  <c r="E44" i="28"/>
  <c r="E45" i="28"/>
  <c r="E46" i="28"/>
  <c r="E47" i="28"/>
  <c r="E48" i="28"/>
  <c r="E49" i="28"/>
  <c r="E50" i="28"/>
  <c r="E51" i="28"/>
  <c r="E52" i="28"/>
  <c r="E53" i="28"/>
  <c r="E54" i="28"/>
  <c r="E55" i="28"/>
  <c r="E56" i="28"/>
  <c r="E57" i="28"/>
  <c r="E58" i="28"/>
  <c r="E59" i="28"/>
  <c r="E60" i="28"/>
  <c r="E61" i="28"/>
  <c r="C156" i="32" s="1"/>
  <c r="E62" i="28"/>
  <c r="E63" i="28"/>
  <c r="C162" i="32" s="1"/>
  <c r="E64" i="28"/>
  <c r="E65" i="28"/>
  <c r="E66" i="28"/>
  <c r="E67" i="28"/>
  <c r="E68" i="28"/>
  <c r="E69" i="28"/>
  <c r="E70" i="28"/>
  <c r="C186" i="32" s="1"/>
  <c r="E71" i="28"/>
  <c r="C191" i="32" s="1"/>
  <c r="E72" i="28"/>
  <c r="C196" i="32" s="1"/>
  <c r="E73" i="28"/>
  <c r="E74" i="28"/>
  <c r="E75" i="28"/>
  <c r="E76" i="28"/>
  <c r="E77" i="28"/>
  <c r="E78" i="28"/>
  <c r="E79" i="28"/>
  <c r="E80" i="28"/>
  <c r="C215" i="32" s="1"/>
  <c r="E10" i="28"/>
  <c r="C193" i="32" l="1"/>
  <c r="F191" i="32"/>
  <c r="E191" i="32"/>
  <c r="C181" i="32"/>
  <c r="E181" i="32" s="1"/>
  <c r="C176" i="32"/>
  <c r="C166" i="32"/>
  <c r="F162" i="32"/>
  <c r="E162" i="32"/>
  <c r="C158" i="32"/>
  <c r="F156" i="32"/>
  <c r="F215" i="32"/>
  <c r="E215" i="32"/>
  <c r="E196" i="32"/>
  <c r="F196" i="32"/>
  <c r="E186" i="32"/>
  <c r="F186" i="32"/>
  <c r="I25" i="28"/>
  <c r="I81" i="28"/>
  <c r="E81" i="28"/>
  <c r="G92" i="28"/>
  <c r="E92" i="28" s="1"/>
  <c r="D92" i="28"/>
  <c r="B92" i="28" s="1"/>
  <c r="E166" i="32" l="1"/>
  <c r="F166" i="32"/>
  <c r="F158" i="32"/>
  <c r="E158" i="32"/>
  <c r="E193" i="32"/>
  <c r="F193" i="32"/>
  <c r="J75" i="21"/>
  <c r="L75" i="21"/>
  <c r="L74" i="21" s="1"/>
  <c r="J13" i="21"/>
  <c r="L13" i="21"/>
  <c r="L22" i="21"/>
  <c r="J22" i="21"/>
  <c r="J27" i="21"/>
  <c r="L27" i="21"/>
  <c r="J35" i="21"/>
  <c r="L35" i="21"/>
  <c r="J40" i="21"/>
  <c r="J44" i="21"/>
  <c r="L48" i="21"/>
  <c r="J51" i="21"/>
  <c r="L51" i="21"/>
  <c r="J57" i="21"/>
  <c r="L57" i="21"/>
  <c r="J65" i="21"/>
  <c r="J69" i="21"/>
  <c r="L65" i="21"/>
  <c r="L69" i="21"/>
  <c r="D132" i="22"/>
  <c r="D199" i="22"/>
  <c r="E199" i="22" s="1"/>
  <c r="D172" i="22"/>
  <c r="D175" i="22"/>
  <c r="E175" i="22" s="1"/>
  <c r="D175" i="20"/>
  <c r="D159" i="22"/>
  <c r="E159" i="22" s="1"/>
  <c r="D119" i="22"/>
  <c r="D124" i="22"/>
  <c r="F124" i="22" s="1"/>
  <c r="D135" i="22"/>
  <c r="F135" i="22" s="1"/>
  <c r="D86" i="22"/>
  <c r="D178" i="22"/>
  <c r="E178" i="22" s="1"/>
  <c r="E124" i="22"/>
  <c r="D121" i="22"/>
  <c r="F121" i="22" s="1"/>
  <c r="I76" i="21"/>
  <c r="I77" i="21"/>
  <c r="I21" i="21"/>
  <c r="I76" i="19"/>
  <c r="I45" i="21"/>
  <c r="K75" i="21"/>
  <c r="K74" i="21" s="1"/>
  <c r="K69" i="21"/>
  <c r="I69" i="21" s="1"/>
  <c r="K65" i="21"/>
  <c r="K64" i="21"/>
  <c r="K57" i="21"/>
  <c r="K51" i="21"/>
  <c r="K44" i="21"/>
  <c r="K43" i="21"/>
  <c r="K35" i="21"/>
  <c r="K32" i="21" s="1"/>
  <c r="K27" i="21"/>
  <c r="K22" i="21"/>
  <c r="K13" i="21"/>
  <c r="G75" i="21"/>
  <c r="G74" i="21"/>
  <c r="G69" i="21"/>
  <c r="G65" i="21"/>
  <c r="G64" i="21" s="1"/>
  <c r="G57" i="21"/>
  <c r="G51" i="21"/>
  <c r="G44" i="21"/>
  <c r="G40" i="21"/>
  <c r="G35" i="21"/>
  <c r="G27" i="21"/>
  <c r="G22" i="21"/>
  <c r="G12" i="21" s="1"/>
  <c r="I30" i="21"/>
  <c r="I30" i="19"/>
  <c r="E17" i="22"/>
  <c r="F17" i="22"/>
  <c r="H17" i="22"/>
  <c r="D19" i="22"/>
  <c r="E19" i="22" s="1"/>
  <c r="C21" i="22"/>
  <c r="E22" i="22"/>
  <c r="F22" i="22"/>
  <c r="C23" i="22"/>
  <c r="D24" i="22"/>
  <c r="E24" i="22" s="1"/>
  <c r="F24" i="22"/>
  <c r="E27" i="22"/>
  <c r="F27" i="22"/>
  <c r="D29" i="22"/>
  <c r="E29" i="22"/>
  <c r="F29" i="22"/>
  <c r="D32" i="22"/>
  <c r="E32" i="22" s="1"/>
  <c r="E34" i="22"/>
  <c r="F34" i="22"/>
  <c r="E35" i="22"/>
  <c r="E38" i="22"/>
  <c r="F38" i="22"/>
  <c r="D40" i="22"/>
  <c r="E40" i="22" s="1"/>
  <c r="E43" i="22"/>
  <c r="F43" i="22"/>
  <c r="D44" i="22"/>
  <c r="D45" i="22"/>
  <c r="E45" i="22"/>
  <c r="F45" i="22"/>
  <c r="E48" i="22"/>
  <c r="F48" i="22"/>
  <c r="D50" i="22"/>
  <c r="E50" i="22" s="1"/>
  <c r="E53" i="22"/>
  <c r="F53" i="22"/>
  <c r="E55" i="22"/>
  <c r="F55" i="22"/>
  <c r="E58" i="22"/>
  <c r="F58" i="22"/>
  <c r="E59" i="22"/>
  <c r="F59" i="22"/>
  <c r="E60" i="22"/>
  <c r="E61" i="22"/>
  <c r="F61" i="22"/>
  <c r="D63" i="22"/>
  <c r="E67" i="22"/>
  <c r="F67" i="22"/>
  <c r="E69" i="22"/>
  <c r="F69" i="22"/>
  <c r="E72" i="22"/>
  <c r="F72" i="22"/>
  <c r="E76" i="22"/>
  <c r="F76" i="22"/>
  <c r="E82" i="22"/>
  <c r="F82" i="22"/>
  <c r="E83" i="22"/>
  <c r="F83" i="22"/>
  <c r="D85" i="22"/>
  <c r="F85" i="22" s="1"/>
  <c r="F86" i="22"/>
  <c r="E86" i="22"/>
  <c r="E88" i="22"/>
  <c r="F88" i="22"/>
  <c r="E89" i="22"/>
  <c r="E92" i="22"/>
  <c r="F92" i="22"/>
  <c r="D94" i="22"/>
  <c r="E94" i="22" s="1"/>
  <c r="E96" i="22"/>
  <c r="F96" i="22"/>
  <c r="E102" i="22"/>
  <c r="F102" i="22"/>
  <c r="C103" i="22"/>
  <c r="E104" i="22"/>
  <c r="F104" i="22"/>
  <c r="D106" i="22"/>
  <c r="E107" i="22"/>
  <c r="F107" i="22"/>
  <c r="E109" i="22"/>
  <c r="F109" i="22"/>
  <c r="C113" i="22"/>
  <c r="D113" i="22"/>
  <c r="E114" i="22"/>
  <c r="F114" i="22"/>
  <c r="C115" i="22"/>
  <c r="D115" i="22"/>
  <c r="E116" i="22"/>
  <c r="F116" i="22"/>
  <c r="E117" i="22"/>
  <c r="F117" i="22"/>
  <c r="E120" i="22"/>
  <c r="F120" i="22"/>
  <c r="E123" i="22"/>
  <c r="E126" i="22"/>
  <c r="F126" i="22"/>
  <c r="D127" i="22"/>
  <c r="E127" i="22" s="1"/>
  <c r="F127" i="22"/>
  <c r="E130" i="22"/>
  <c r="F130" i="22"/>
  <c r="E132" i="22"/>
  <c r="F132" i="22"/>
  <c r="E134" i="22"/>
  <c r="F134" i="22"/>
  <c r="E138" i="22"/>
  <c r="F138" i="22"/>
  <c r="D140" i="22"/>
  <c r="E140" i="22" s="1"/>
  <c r="E143" i="22"/>
  <c r="F143" i="22"/>
  <c r="E145" i="22"/>
  <c r="F145" i="22"/>
  <c r="E149" i="22"/>
  <c r="F149" i="22"/>
  <c r="E151" i="22"/>
  <c r="F151" i="22"/>
  <c r="E153" i="22"/>
  <c r="F153" i="22"/>
  <c r="E155" i="22"/>
  <c r="F155" i="22"/>
  <c r="E157" i="22"/>
  <c r="F157" i="22"/>
  <c r="E162" i="22"/>
  <c r="F162" i="22"/>
  <c r="D164" i="22"/>
  <c r="E164" i="22" s="1"/>
  <c r="F164" i="22"/>
  <c r="E169" i="22"/>
  <c r="F169" i="22"/>
  <c r="E170" i="22"/>
  <c r="F170" i="22"/>
  <c r="E172" i="22"/>
  <c r="F172" i="22"/>
  <c r="E174" i="22"/>
  <c r="F174" i="22"/>
  <c r="F175" i="22"/>
  <c r="E177" i="22"/>
  <c r="F177" i="22"/>
  <c r="D186" i="22"/>
  <c r="E187" i="22"/>
  <c r="F187" i="22"/>
  <c r="E189" i="22"/>
  <c r="F189" i="22"/>
  <c r="D191" i="22"/>
  <c r="E192" i="22"/>
  <c r="F192" i="22"/>
  <c r="D193" i="22"/>
  <c r="D194" i="22"/>
  <c r="E194" i="22" s="1"/>
  <c r="E197" i="22"/>
  <c r="F197" i="22"/>
  <c r="E204" i="22"/>
  <c r="F204" i="22"/>
  <c r="E205" i="22"/>
  <c r="F205" i="22"/>
  <c r="E207" i="22"/>
  <c r="F207" i="22"/>
  <c r="E209" i="22"/>
  <c r="F209" i="22"/>
  <c r="E211" i="22"/>
  <c r="F211" i="22"/>
  <c r="E213" i="22"/>
  <c r="F213" i="22"/>
  <c r="E215" i="22"/>
  <c r="F215" i="22"/>
  <c r="E217" i="22"/>
  <c r="F217" i="22"/>
  <c r="E221" i="22"/>
  <c r="F221" i="22"/>
  <c r="E223" i="22"/>
  <c r="F223" i="22"/>
  <c r="E225" i="22"/>
  <c r="F225" i="22"/>
  <c r="E226" i="22"/>
  <c r="F226" i="22"/>
  <c r="E227" i="22"/>
  <c r="F227" i="22"/>
  <c r="E13" i="21"/>
  <c r="H13" i="21"/>
  <c r="E14" i="21"/>
  <c r="C16" i="22" s="1"/>
  <c r="C18" i="22" s="1"/>
  <c r="I14" i="21"/>
  <c r="E15" i="21"/>
  <c r="I15" i="21"/>
  <c r="D21" i="22" s="1"/>
  <c r="E16" i="21"/>
  <c r="C26" i="22" s="1"/>
  <c r="C28" i="22" s="1"/>
  <c r="I16" i="21"/>
  <c r="D26" i="22" s="1"/>
  <c r="E17" i="21"/>
  <c r="C31" i="22" s="1"/>
  <c r="I17" i="21"/>
  <c r="D31" i="22"/>
  <c r="E18" i="21"/>
  <c r="I18" i="21"/>
  <c r="E19" i="21"/>
  <c r="I19" i="21"/>
  <c r="D37" i="22" s="1"/>
  <c r="E20" i="21"/>
  <c r="I20" i="21"/>
  <c r="E21" i="21"/>
  <c r="C47" i="22" s="1"/>
  <c r="F22" i="21"/>
  <c r="F12" i="21" s="1"/>
  <c r="H22" i="21"/>
  <c r="E23" i="21"/>
  <c r="I23" i="21"/>
  <c r="E24" i="21"/>
  <c r="I24" i="21"/>
  <c r="E25" i="21"/>
  <c r="I25" i="21"/>
  <c r="E26" i="21"/>
  <c r="C57" i="22" s="1"/>
  <c r="C62" i="22" s="1"/>
  <c r="I26" i="21"/>
  <c r="F27" i="21"/>
  <c r="E27" i="21" s="1"/>
  <c r="H27" i="21"/>
  <c r="E28" i="21"/>
  <c r="I28" i="21"/>
  <c r="E29" i="21"/>
  <c r="I29" i="21"/>
  <c r="E30" i="21"/>
  <c r="E31" i="21"/>
  <c r="I31" i="21"/>
  <c r="D75" i="22" s="1"/>
  <c r="E33" i="21"/>
  <c r="C81" i="22" s="1"/>
  <c r="C84" i="22" s="1"/>
  <c r="I33" i="21"/>
  <c r="D81" i="22" s="1"/>
  <c r="E34" i="21"/>
  <c r="I34" i="21"/>
  <c r="F35" i="21"/>
  <c r="E35" i="21" s="1"/>
  <c r="H35" i="21"/>
  <c r="L32" i="21"/>
  <c r="E36" i="21"/>
  <c r="I36" i="21"/>
  <c r="E37" i="21"/>
  <c r="I37" i="21"/>
  <c r="E38" i="21"/>
  <c r="I38" i="21"/>
  <c r="E39" i="21"/>
  <c r="I39" i="21"/>
  <c r="F40" i="21"/>
  <c r="H40" i="21"/>
  <c r="I40" i="21"/>
  <c r="E41" i="21"/>
  <c r="I41" i="21"/>
  <c r="E42" i="21"/>
  <c r="I42" i="21"/>
  <c r="H43" i="21"/>
  <c r="F44" i="21"/>
  <c r="H44" i="21"/>
  <c r="E45" i="21"/>
  <c r="E46" i="21"/>
  <c r="I46" i="21"/>
  <c r="E47" i="21"/>
  <c r="I47" i="21"/>
  <c r="E48" i="21"/>
  <c r="C129" i="22" s="1"/>
  <c r="I48" i="21"/>
  <c r="E49" i="21"/>
  <c r="I49" i="21"/>
  <c r="E50" i="21"/>
  <c r="I50" i="21"/>
  <c r="D137" i="22" s="1"/>
  <c r="E137" i="22" s="1"/>
  <c r="F51" i="21"/>
  <c r="E51" i="21" s="1"/>
  <c r="C142" i="22" s="1"/>
  <c r="C144" i="22" s="1"/>
  <c r="H51" i="21"/>
  <c r="E52" i="21"/>
  <c r="I52" i="21"/>
  <c r="E53" i="21"/>
  <c r="I53" i="21"/>
  <c r="E54" i="21"/>
  <c r="I54" i="21"/>
  <c r="E55" i="21"/>
  <c r="I55" i="21"/>
  <c r="E56" i="21"/>
  <c r="I56" i="21"/>
  <c r="F57" i="21"/>
  <c r="H57" i="21"/>
  <c r="E58" i="21"/>
  <c r="I58" i="21"/>
  <c r="E59" i="21"/>
  <c r="I59" i="21"/>
  <c r="E60" i="21"/>
  <c r="I60" i="21"/>
  <c r="E61" i="21"/>
  <c r="I61" i="21"/>
  <c r="E62" i="21"/>
  <c r="I62" i="21"/>
  <c r="E63" i="21"/>
  <c r="I63" i="21"/>
  <c r="J64" i="21"/>
  <c r="F65" i="21"/>
  <c r="H65" i="21"/>
  <c r="E66" i="21"/>
  <c r="C167" i="22" s="1"/>
  <c r="I66" i="21"/>
  <c r="E67" i="21"/>
  <c r="I67" i="21"/>
  <c r="E68" i="21"/>
  <c r="I68" i="21"/>
  <c r="F69" i="21"/>
  <c r="H69" i="21"/>
  <c r="E69" i="21" s="1"/>
  <c r="E70" i="21"/>
  <c r="I70" i="21"/>
  <c r="E71" i="21"/>
  <c r="C186" i="22"/>
  <c r="F186" i="22" s="1"/>
  <c r="I71" i="21"/>
  <c r="E72" i="21"/>
  <c r="C191" i="22" s="1"/>
  <c r="F191" i="22" s="1"/>
  <c r="I72" i="21"/>
  <c r="E73" i="21"/>
  <c r="I73" i="21"/>
  <c r="D196" i="22" s="1"/>
  <c r="D198" i="22" s="1"/>
  <c r="F74" i="21"/>
  <c r="F75" i="21"/>
  <c r="H75" i="21"/>
  <c r="H74" i="21" s="1"/>
  <c r="J74" i="21"/>
  <c r="E76" i="21"/>
  <c r="E77" i="21"/>
  <c r="E78" i="21"/>
  <c r="I78" i="21"/>
  <c r="E79" i="21"/>
  <c r="I79" i="21"/>
  <c r="E80" i="21"/>
  <c r="I80" i="21"/>
  <c r="E81" i="21"/>
  <c r="I81" i="21"/>
  <c r="E82" i="21"/>
  <c r="I82" i="21"/>
  <c r="E17" i="20"/>
  <c r="F17" i="20"/>
  <c r="H17" i="20"/>
  <c r="D19" i="20"/>
  <c r="E19" i="20"/>
  <c r="F19" i="20"/>
  <c r="C21" i="20"/>
  <c r="C23" i="20" s="1"/>
  <c r="E22" i="20"/>
  <c r="F22" i="20"/>
  <c r="D24" i="20"/>
  <c r="E27" i="20"/>
  <c r="F27" i="20"/>
  <c r="D29" i="20"/>
  <c r="E29" i="20" s="1"/>
  <c r="D32" i="20"/>
  <c r="E34" i="20"/>
  <c r="F34" i="20"/>
  <c r="D35" i="20"/>
  <c r="E35" i="20" s="1"/>
  <c r="E38" i="20"/>
  <c r="F38" i="20"/>
  <c r="D40" i="20"/>
  <c r="E40" i="20" s="1"/>
  <c r="E43" i="20"/>
  <c r="F43" i="20"/>
  <c r="D44" i="20"/>
  <c r="D45" i="20"/>
  <c r="E45" i="20"/>
  <c r="F45" i="20"/>
  <c r="E48" i="20"/>
  <c r="F48" i="20"/>
  <c r="D50" i="20"/>
  <c r="E50" i="20" s="1"/>
  <c r="F50" i="20"/>
  <c r="C52" i="20"/>
  <c r="D52" i="20"/>
  <c r="E52" i="20" s="1"/>
  <c r="E53" i="20"/>
  <c r="F53" i="20"/>
  <c r="C54" i="20"/>
  <c r="E55" i="20"/>
  <c r="F55" i="20"/>
  <c r="E58" i="20"/>
  <c r="F58" i="20"/>
  <c r="E59" i="20"/>
  <c r="F59" i="20"/>
  <c r="E60" i="20"/>
  <c r="E61" i="20"/>
  <c r="F61" i="20"/>
  <c r="D63" i="20"/>
  <c r="E63" i="20" s="1"/>
  <c r="F63" i="20"/>
  <c r="E67" i="20"/>
  <c r="F67" i="20"/>
  <c r="E69" i="20"/>
  <c r="F69" i="20"/>
  <c r="E72" i="20"/>
  <c r="F72" i="20"/>
  <c r="E76" i="20"/>
  <c r="F76" i="20"/>
  <c r="E82" i="20"/>
  <c r="F82" i="20"/>
  <c r="E83" i="20"/>
  <c r="F83" i="20"/>
  <c r="D85" i="20"/>
  <c r="D86" i="20"/>
  <c r="E86" i="20" s="1"/>
  <c r="E88" i="20"/>
  <c r="F88" i="20"/>
  <c r="E89" i="20"/>
  <c r="E92" i="20"/>
  <c r="F92" i="20"/>
  <c r="D94" i="20"/>
  <c r="E94" i="20" s="1"/>
  <c r="E96" i="20"/>
  <c r="F96" i="20"/>
  <c r="E102" i="20"/>
  <c r="F102" i="20"/>
  <c r="C103" i="20"/>
  <c r="E104" i="20"/>
  <c r="F104" i="20"/>
  <c r="D106" i="20"/>
  <c r="E107" i="20"/>
  <c r="F107" i="20"/>
  <c r="E109" i="20"/>
  <c r="F109" i="20"/>
  <c r="C113" i="20"/>
  <c r="C118" i="20" s="1"/>
  <c r="E114" i="20"/>
  <c r="F114" i="20"/>
  <c r="C115" i="20"/>
  <c r="D115" i="20"/>
  <c r="F115" i="20" s="1"/>
  <c r="E116" i="20"/>
  <c r="F116" i="20"/>
  <c r="E117" i="20"/>
  <c r="F117" i="20"/>
  <c r="D119" i="20"/>
  <c r="E119" i="20"/>
  <c r="F119" i="20"/>
  <c r="E120" i="20"/>
  <c r="F120" i="20"/>
  <c r="D121" i="20"/>
  <c r="E123" i="20"/>
  <c r="D124" i="20"/>
  <c r="E126" i="20"/>
  <c r="F126" i="20"/>
  <c r="D127" i="20"/>
  <c r="E127" i="20" s="1"/>
  <c r="C129" i="20"/>
  <c r="E130" i="20"/>
  <c r="F130" i="20"/>
  <c r="D132" i="20"/>
  <c r="E134" i="20"/>
  <c r="F134" i="20"/>
  <c r="D135" i="20"/>
  <c r="E135" i="20" s="1"/>
  <c r="E138" i="20"/>
  <c r="F138" i="20"/>
  <c r="D140" i="20"/>
  <c r="E143" i="20"/>
  <c r="F143" i="20"/>
  <c r="E145" i="20"/>
  <c r="F145" i="20"/>
  <c r="D149" i="20"/>
  <c r="E149" i="20"/>
  <c r="F149" i="20"/>
  <c r="D151" i="20"/>
  <c r="D153" i="20"/>
  <c r="D155" i="20"/>
  <c r="E155" i="20" s="1"/>
  <c r="F155" i="20"/>
  <c r="D157" i="20"/>
  <c r="E157" i="20" s="1"/>
  <c r="E162" i="20"/>
  <c r="F162" i="20"/>
  <c r="D164" i="20"/>
  <c r="E164" i="20" s="1"/>
  <c r="E169" i="20"/>
  <c r="F169" i="20"/>
  <c r="E170" i="20"/>
  <c r="F170" i="20"/>
  <c r="D172" i="20"/>
  <c r="E174" i="20"/>
  <c r="F174" i="20"/>
  <c r="E175" i="20"/>
  <c r="F175" i="20"/>
  <c r="E177" i="20"/>
  <c r="F177" i="20"/>
  <c r="D178" i="20"/>
  <c r="E178" i="20" s="1"/>
  <c r="D186" i="20"/>
  <c r="E187" i="20"/>
  <c r="F187" i="20"/>
  <c r="E189" i="20"/>
  <c r="F189" i="20"/>
  <c r="D191" i="20"/>
  <c r="D193" i="20" s="1"/>
  <c r="E192" i="20"/>
  <c r="F192" i="20"/>
  <c r="D194" i="20"/>
  <c r="E197" i="20"/>
  <c r="F197" i="20"/>
  <c r="D199" i="20"/>
  <c r="D204" i="20"/>
  <c r="E204" i="20"/>
  <c r="F204" i="20"/>
  <c r="D205" i="20"/>
  <c r="D207" i="20"/>
  <c r="E207" i="20" s="1"/>
  <c r="E209" i="20"/>
  <c r="F209" i="20"/>
  <c r="E211" i="20"/>
  <c r="F211" i="20"/>
  <c r="E213" i="20"/>
  <c r="F213" i="20"/>
  <c r="D214" i="20"/>
  <c r="E214" i="20" s="1"/>
  <c r="F214" i="20"/>
  <c r="E215" i="20"/>
  <c r="F215" i="20"/>
  <c r="E217" i="20"/>
  <c r="F217" i="20"/>
  <c r="E221" i="20"/>
  <c r="F221" i="20"/>
  <c r="E223" i="20"/>
  <c r="F223" i="20"/>
  <c r="E225" i="20"/>
  <c r="F225" i="20"/>
  <c r="E226" i="20"/>
  <c r="F226" i="20"/>
  <c r="E227" i="20"/>
  <c r="F227" i="20"/>
  <c r="E13" i="19"/>
  <c r="H13" i="19"/>
  <c r="J13" i="19"/>
  <c r="K13" i="19"/>
  <c r="L13" i="19"/>
  <c r="E14" i="19"/>
  <c r="C16" i="20" s="1"/>
  <c r="C18" i="20" s="1"/>
  <c r="I14" i="19"/>
  <c r="D16" i="20" s="1"/>
  <c r="E15" i="19"/>
  <c r="I15" i="19"/>
  <c r="D21" i="20" s="1"/>
  <c r="E16" i="19"/>
  <c r="C26" i="20" s="1"/>
  <c r="C28" i="20" s="1"/>
  <c r="I16" i="19"/>
  <c r="D26" i="20" s="1"/>
  <c r="F26" i="20" s="1"/>
  <c r="E17" i="19"/>
  <c r="C31" i="20" s="1"/>
  <c r="I17" i="19"/>
  <c r="D31" i="20" s="1"/>
  <c r="E18" i="19"/>
  <c r="I18" i="19"/>
  <c r="E19" i="19"/>
  <c r="C37" i="20" s="1"/>
  <c r="I19" i="19"/>
  <c r="D37" i="20" s="1"/>
  <c r="E37" i="20" s="1"/>
  <c r="E20" i="19"/>
  <c r="C42" i="20" s="1"/>
  <c r="C44" i="20" s="1"/>
  <c r="I20" i="19"/>
  <c r="D42" i="20" s="1"/>
  <c r="E21" i="19"/>
  <c r="C47" i="20" s="1"/>
  <c r="C49" i="20" s="1"/>
  <c r="I21" i="19"/>
  <c r="D47" i="20" s="1"/>
  <c r="E47" i="20" s="1"/>
  <c r="F22" i="19"/>
  <c r="G22" i="19"/>
  <c r="H22" i="19"/>
  <c r="J22" i="19"/>
  <c r="K22" i="19"/>
  <c r="E23" i="19"/>
  <c r="I23" i="19"/>
  <c r="E24" i="19"/>
  <c r="I24" i="19"/>
  <c r="E25" i="19"/>
  <c r="I25" i="19"/>
  <c r="E26" i="19"/>
  <c r="C57" i="20" s="1"/>
  <c r="C62" i="20" s="1"/>
  <c r="I26" i="19"/>
  <c r="D57" i="20" s="1"/>
  <c r="L26" i="19"/>
  <c r="L22" i="19" s="1"/>
  <c r="F27" i="19"/>
  <c r="G27" i="19"/>
  <c r="E27" i="19" s="1"/>
  <c r="C65" i="20" s="1"/>
  <c r="H27" i="19"/>
  <c r="J27" i="19"/>
  <c r="K27" i="19"/>
  <c r="I27" i="19" s="1"/>
  <c r="D65" i="20" s="1"/>
  <c r="L27" i="19"/>
  <c r="E28" i="19"/>
  <c r="I28" i="19"/>
  <c r="E29" i="19"/>
  <c r="I29" i="19"/>
  <c r="D70" i="20" s="1"/>
  <c r="E70" i="20" s="1"/>
  <c r="E30" i="19"/>
  <c r="E31" i="19"/>
  <c r="C75" i="20" s="1"/>
  <c r="C77" i="20" s="1"/>
  <c r="I31" i="19"/>
  <c r="D75" i="20" s="1"/>
  <c r="E75" i="20" s="1"/>
  <c r="E33" i="19"/>
  <c r="C81" i="20" s="1"/>
  <c r="C84" i="20" s="1"/>
  <c r="I33" i="19"/>
  <c r="D81" i="20" s="1"/>
  <c r="F81" i="20" s="1"/>
  <c r="E34" i="19"/>
  <c r="I34" i="19"/>
  <c r="F35" i="19"/>
  <c r="G35" i="19"/>
  <c r="H35" i="19"/>
  <c r="J35" i="19"/>
  <c r="J32" i="19" s="1"/>
  <c r="K35" i="19"/>
  <c r="K32" i="19" s="1"/>
  <c r="L35" i="19"/>
  <c r="I35" i="19" s="1"/>
  <c r="D91" i="20" s="1"/>
  <c r="E36" i="19"/>
  <c r="I36" i="19"/>
  <c r="E37" i="19"/>
  <c r="I37" i="19"/>
  <c r="E38" i="19"/>
  <c r="I38" i="19"/>
  <c r="E39" i="19"/>
  <c r="I39" i="19"/>
  <c r="F40" i="19"/>
  <c r="G40" i="19"/>
  <c r="H40" i="19"/>
  <c r="I40" i="19"/>
  <c r="D99" i="20" s="1"/>
  <c r="J40" i="19"/>
  <c r="E41" i="19"/>
  <c r="I41" i="19"/>
  <c r="E42" i="19"/>
  <c r="C106" i="20" s="1"/>
  <c r="I42" i="19"/>
  <c r="G43" i="19"/>
  <c r="F44" i="19"/>
  <c r="G44" i="19"/>
  <c r="H44" i="19"/>
  <c r="J44" i="19"/>
  <c r="K44" i="19"/>
  <c r="E45" i="19"/>
  <c r="I45" i="19"/>
  <c r="E46" i="19"/>
  <c r="I46" i="19"/>
  <c r="E47" i="19"/>
  <c r="I47" i="19"/>
  <c r="E48" i="19"/>
  <c r="I48" i="19"/>
  <c r="L48" i="19"/>
  <c r="L44" i="19" s="1"/>
  <c r="E49" i="19"/>
  <c r="I49" i="19"/>
  <c r="E50" i="19"/>
  <c r="C137" i="20" s="1"/>
  <c r="C139" i="20" s="1"/>
  <c r="L50" i="19"/>
  <c r="I50" i="19" s="1"/>
  <c r="D137" i="20" s="1"/>
  <c r="F51" i="19"/>
  <c r="G51" i="19"/>
  <c r="H51" i="19"/>
  <c r="J51" i="19"/>
  <c r="K51" i="19"/>
  <c r="L51" i="19"/>
  <c r="E52" i="19"/>
  <c r="I52" i="19"/>
  <c r="E53" i="19"/>
  <c r="I53" i="19"/>
  <c r="E54" i="19"/>
  <c r="I54" i="19"/>
  <c r="E55" i="19"/>
  <c r="I55" i="19"/>
  <c r="E56" i="19"/>
  <c r="I56" i="19"/>
  <c r="F57" i="19"/>
  <c r="G57" i="19"/>
  <c r="H57" i="19"/>
  <c r="J57" i="19"/>
  <c r="K57" i="19"/>
  <c r="L57" i="19"/>
  <c r="E58" i="19"/>
  <c r="I58" i="19"/>
  <c r="E59" i="19"/>
  <c r="I59" i="19"/>
  <c r="E60" i="19"/>
  <c r="I60" i="19"/>
  <c r="E61" i="19"/>
  <c r="I61" i="19"/>
  <c r="E62" i="19"/>
  <c r="I62" i="19"/>
  <c r="E63" i="19"/>
  <c r="C161" i="20" s="1"/>
  <c r="C163" i="20" s="1"/>
  <c r="I63" i="19"/>
  <c r="D161" i="20" s="1"/>
  <c r="L64" i="19"/>
  <c r="F65" i="19"/>
  <c r="G65" i="19"/>
  <c r="E65" i="19" s="1"/>
  <c r="H65" i="19"/>
  <c r="K65" i="19"/>
  <c r="L65" i="19"/>
  <c r="E66" i="19"/>
  <c r="C167" i="20" s="1"/>
  <c r="C171" i="20" s="1"/>
  <c r="I66" i="19"/>
  <c r="E67" i="19"/>
  <c r="I67" i="19"/>
  <c r="E68" i="19"/>
  <c r="I68" i="19"/>
  <c r="F69" i="19"/>
  <c r="G69" i="19"/>
  <c r="H69" i="19"/>
  <c r="J69" i="19"/>
  <c r="J64" i="19" s="1"/>
  <c r="K69" i="19"/>
  <c r="L69" i="19"/>
  <c r="E70" i="19"/>
  <c r="I70" i="19"/>
  <c r="E71" i="19"/>
  <c r="C186" i="20" s="1"/>
  <c r="C188" i="20" s="1"/>
  <c r="I71" i="19"/>
  <c r="E72" i="19"/>
  <c r="C191" i="20" s="1"/>
  <c r="I72" i="19"/>
  <c r="E73" i="19"/>
  <c r="C196" i="20" s="1"/>
  <c r="C198" i="20" s="1"/>
  <c r="I73" i="19"/>
  <c r="D196" i="20" s="1"/>
  <c r="F75" i="19"/>
  <c r="G75" i="19"/>
  <c r="G74" i="19" s="1"/>
  <c r="H75" i="19"/>
  <c r="H74" i="19" s="1"/>
  <c r="J75" i="19"/>
  <c r="J74" i="19" s="1"/>
  <c r="K75" i="19"/>
  <c r="K74" i="19" s="1"/>
  <c r="E76" i="19"/>
  <c r="E77" i="19"/>
  <c r="I77" i="19"/>
  <c r="E78" i="19"/>
  <c r="I78" i="19"/>
  <c r="E79" i="19"/>
  <c r="L79" i="19"/>
  <c r="L75" i="19" s="1"/>
  <c r="L74" i="19" s="1"/>
  <c r="E80" i="19"/>
  <c r="I80" i="19"/>
  <c r="E81" i="19"/>
  <c r="I81" i="19"/>
  <c r="E82" i="19"/>
  <c r="C220" i="20" s="1"/>
  <c r="E220" i="20" s="1"/>
  <c r="I82" i="19"/>
  <c r="I8" i="18"/>
  <c r="I10" i="18" s="1"/>
  <c r="B10" i="18"/>
  <c r="G10" i="18"/>
  <c r="F10" i="18" s="1"/>
  <c r="J10" i="18" s="1"/>
  <c r="K10" i="18"/>
  <c r="E17" i="17"/>
  <c r="F17" i="17"/>
  <c r="H17" i="17"/>
  <c r="D19" i="17"/>
  <c r="E19" i="17" s="1"/>
  <c r="C21" i="17"/>
  <c r="C23" i="17" s="1"/>
  <c r="E22" i="17"/>
  <c r="F22" i="17"/>
  <c r="D24" i="17"/>
  <c r="E27" i="17"/>
  <c r="F27" i="17"/>
  <c r="D29" i="17"/>
  <c r="E29" i="17"/>
  <c r="F29" i="17"/>
  <c r="D32" i="17"/>
  <c r="E34" i="17"/>
  <c r="F34" i="17"/>
  <c r="D35" i="17"/>
  <c r="E35" i="17" s="1"/>
  <c r="E38" i="17"/>
  <c r="F38" i="17"/>
  <c r="D40" i="17"/>
  <c r="E40" i="17" s="1"/>
  <c r="E43" i="17"/>
  <c r="F43" i="17"/>
  <c r="D44" i="17"/>
  <c r="D45" i="17"/>
  <c r="E45" i="17" s="1"/>
  <c r="F45" i="17"/>
  <c r="E48" i="17"/>
  <c r="F48" i="17"/>
  <c r="D50" i="17"/>
  <c r="E50" i="17" s="1"/>
  <c r="F50" i="17"/>
  <c r="D52" i="17"/>
  <c r="E53" i="17"/>
  <c r="F53" i="17"/>
  <c r="E55" i="17"/>
  <c r="F55" i="17"/>
  <c r="D59" i="17"/>
  <c r="F59" i="17" s="1"/>
  <c r="D60" i="17"/>
  <c r="E60" i="17" s="1"/>
  <c r="E61" i="17"/>
  <c r="F61" i="17"/>
  <c r="E67" i="17"/>
  <c r="F67" i="17"/>
  <c r="E69" i="17"/>
  <c r="F69" i="17"/>
  <c r="E70" i="17"/>
  <c r="E72" i="17"/>
  <c r="F72" i="17"/>
  <c r="E76" i="17"/>
  <c r="F76" i="17"/>
  <c r="E82" i="17"/>
  <c r="F82" i="17"/>
  <c r="E83" i="17"/>
  <c r="F83" i="17"/>
  <c r="D84" i="17"/>
  <c r="D85" i="17"/>
  <c r="D86" i="17"/>
  <c r="E86" i="17" s="1"/>
  <c r="E88" i="17"/>
  <c r="F88" i="17"/>
  <c r="E89" i="17"/>
  <c r="E92" i="17"/>
  <c r="F92" i="17"/>
  <c r="D94" i="17"/>
  <c r="E94" i="17" s="1"/>
  <c r="E96" i="17"/>
  <c r="F96" i="17"/>
  <c r="E102" i="17"/>
  <c r="F102" i="17"/>
  <c r="C103" i="17"/>
  <c r="E104" i="17"/>
  <c r="F104" i="17"/>
  <c r="D106" i="17"/>
  <c r="E107" i="17"/>
  <c r="F107" i="17"/>
  <c r="E109" i="17"/>
  <c r="F109" i="17"/>
  <c r="C113" i="17"/>
  <c r="E114" i="17"/>
  <c r="F114" i="17"/>
  <c r="C115" i="17"/>
  <c r="F115" i="17" s="1"/>
  <c r="D115" i="17"/>
  <c r="E115" i="17"/>
  <c r="E116" i="17"/>
  <c r="F116" i="17"/>
  <c r="E117" i="17"/>
  <c r="F117" i="17"/>
  <c r="D119" i="17"/>
  <c r="E119" i="17" s="1"/>
  <c r="E120" i="17"/>
  <c r="F120" i="17"/>
  <c r="D121" i="17"/>
  <c r="E121" i="17" s="1"/>
  <c r="E123" i="17"/>
  <c r="D124" i="17"/>
  <c r="E124" i="17" s="1"/>
  <c r="E126" i="17"/>
  <c r="F126" i="17"/>
  <c r="D127" i="17"/>
  <c r="E127" i="17" s="1"/>
  <c r="D129" i="17"/>
  <c r="E130" i="17"/>
  <c r="F130" i="17"/>
  <c r="D132" i="17"/>
  <c r="E132" i="17"/>
  <c r="F132" i="17"/>
  <c r="E134" i="17"/>
  <c r="F134" i="17"/>
  <c r="D135" i="17"/>
  <c r="E135" i="17" s="1"/>
  <c r="E138" i="17"/>
  <c r="F138" i="17"/>
  <c r="D140" i="17"/>
  <c r="E140" i="17" s="1"/>
  <c r="E143" i="17"/>
  <c r="F143" i="17"/>
  <c r="E145" i="17"/>
  <c r="F145" i="17"/>
  <c r="E149" i="17"/>
  <c r="F149" i="17"/>
  <c r="E151" i="17"/>
  <c r="F151" i="17"/>
  <c r="E153" i="17"/>
  <c r="F153" i="17"/>
  <c r="E155" i="17"/>
  <c r="F155" i="17"/>
  <c r="E157" i="17"/>
  <c r="F157" i="17"/>
  <c r="D159" i="17"/>
  <c r="E159" i="17" s="1"/>
  <c r="E162" i="17"/>
  <c r="F162" i="17"/>
  <c r="D164" i="17"/>
  <c r="E164" i="17" s="1"/>
  <c r="E169" i="17"/>
  <c r="F169" i="17"/>
  <c r="E170" i="17"/>
  <c r="F170" i="17"/>
  <c r="D172" i="17"/>
  <c r="E172" i="17" s="1"/>
  <c r="E174" i="17"/>
  <c r="F174" i="17"/>
  <c r="D175" i="17"/>
  <c r="E175" i="17" s="1"/>
  <c r="E177" i="17"/>
  <c r="F177" i="17"/>
  <c r="D178" i="17"/>
  <c r="E178" i="17" s="1"/>
  <c r="D186" i="17"/>
  <c r="E187" i="17"/>
  <c r="F187" i="17"/>
  <c r="E189" i="17"/>
  <c r="F189" i="17"/>
  <c r="D191" i="17"/>
  <c r="D193" i="17" s="1"/>
  <c r="E192" i="17"/>
  <c r="F192" i="17"/>
  <c r="D194" i="17"/>
  <c r="E194" i="17" s="1"/>
  <c r="E197" i="17"/>
  <c r="F197" i="17"/>
  <c r="D199" i="17"/>
  <c r="E199" i="17" s="1"/>
  <c r="E204" i="17"/>
  <c r="F204" i="17"/>
  <c r="E205" i="17"/>
  <c r="F205" i="17"/>
  <c r="E207" i="17"/>
  <c r="F207" i="17"/>
  <c r="E209" i="17"/>
  <c r="F209" i="17"/>
  <c r="E211" i="17"/>
  <c r="F211" i="17"/>
  <c r="E213" i="17"/>
  <c r="F213" i="17"/>
  <c r="D214" i="17"/>
  <c r="E214" i="17" s="1"/>
  <c r="E215" i="17"/>
  <c r="F215" i="17"/>
  <c r="E217" i="17"/>
  <c r="F217" i="17"/>
  <c r="E221" i="17"/>
  <c r="F221" i="17"/>
  <c r="E223" i="17"/>
  <c r="F223" i="17"/>
  <c r="E225" i="17"/>
  <c r="F225" i="17"/>
  <c r="E226" i="17"/>
  <c r="F226" i="17"/>
  <c r="E227" i="17"/>
  <c r="F227" i="17"/>
  <c r="H13" i="16"/>
  <c r="E13" i="16" s="1"/>
  <c r="J13" i="16"/>
  <c r="K13" i="16"/>
  <c r="L13" i="16"/>
  <c r="E14" i="16"/>
  <c r="C16" i="17" s="1"/>
  <c r="C18" i="17" s="1"/>
  <c r="I14" i="16"/>
  <c r="D16" i="17" s="1"/>
  <c r="E15" i="16"/>
  <c r="I15" i="16"/>
  <c r="D21" i="17" s="1"/>
  <c r="E16" i="16"/>
  <c r="C26" i="17" s="1"/>
  <c r="I16" i="16"/>
  <c r="D26" i="17" s="1"/>
  <c r="E17" i="16"/>
  <c r="C31" i="17" s="1"/>
  <c r="I17" i="16"/>
  <c r="D31" i="17" s="1"/>
  <c r="E18" i="16"/>
  <c r="I18" i="16"/>
  <c r="E19" i="16"/>
  <c r="C37" i="17" s="1"/>
  <c r="C39" i="17" s="1"/>
  <c r="I19" i="16"/>
  <c r="D37" i="17" s="1"/>
  <c r="E20" i="16"/>
  <c r="C42" i="17" s="1"/>
  <c r="I20" i="16"/>
  <c r="E21" i="16"/>
  <c r="C47" i="17" s="1"/>
  <c r="I21" i="16"/>
  <c r="D47" i="17" s="1"/>
  <c r="F22" i="16"/>
  <c r="G22" i="16"/>
  <c r="H22" i="16"/>
  <c r="K22" i="16"/>
  <c r="E23" i="16"/>
  <c r="C52" i="17" s="1"/>
  <c r="C54" i="17" s="1"/>
  <c r="E54" i="17" s="1"/>
  <c r="I23" i="16"/>
  <c r="E24" i="16"/>
  <c r="I24" i="16"/>
  <c r="E25" i="16"/>
  <c r="I25" i="16"/>
  <c r="E26" i="16"/>
  <c r="C57" i="17" s="1"/>
  <c r="J26" i="16"/>
  <c r="J22" i="16" s="1"/>
  <c r="L26" i="16"/>
  <c r="L22" i="16" s="1"/>
  <c r="F27" i="16"/>
  <c r="G27" i="16"/>
  <c r="H27" i="16"/>
  <c r="K27" i="16"/>
  <c r="L27" i="16"/>
  <c r="E28" i="16"/>
  <c r="I28" i="16"/>
  <c r="J28" i="16"/>
  <c r="J27" i="16" s="1"/>
  <c r="E29" i="16"/>
  <c r="I29" i="16"/>
  <c r="E30" i="16"/>
  <c r="I30" i="16"/>
  <c r="E31" i="16"/>
  <c r="C75" i="17" s="1"/>
  <c r="C77" i="17" s="1"/>
  <c r="I31" i="16"/>
  <c r="D75" i="17" s="1"/>
  <c r="E33" i="16"/>
  <c r="C81" i="17" s="1"/>
  <c r="C84" i="17" s="1"/>
  <c r="L33" i="16"/>
  <c r="E34" i="16"/>
  <c r="I34" i="16"/>
  <c r="F35" i="16"/>
  <c r="G35" i="16"/>
  <c r="H35" i="16"/>
  <c r="J35" i="16"/>
  <c r="K35" i="16"/>
  <c r="K32" i="16" s="1"/>
  <c r="L35" i="16"/>
  <c r="E36" i="16"/>
  <c r="I36" i="16"/>
  <c r="E37" i="16"/>
  <c r="I37" i="16"/>
  <c r="E38" i="16"/>
  <c r="I38" i="16"/>
  <c r="E39" i="16"/>
  <c r="I39" i="16"/>
  <c r="F40" i="16"/>
  <c r="G40" i="16"/>
  <c r="H40" i="16"/>
  <c r="J40" i="16"/>
  <c r="I40" i="16" s="1"/>
  <c r="D99" i="17" s="1"/>
  <c r="E41" i="16"/>
  <c r="I41" i="16"/>
  <c r="E42" i="16"/>
  <c r="C106" i="17" s="1"/>
  <c r="I42" i="16"/>
  <c r="F44" i="16"/>
  <c r="G44" i="16"/>
  <c r="H44" i="16"/>
  <c r="K44" i="16"/>
  <c r="L44" i="16"/>
  <c r="E45" i="16"/>
  <c r="J45" i="16"/>
  <c r="D113" i="17" s="1"/>
  <c r="E46" i="16"/>
  <c r="I46" i="16"/>
  <c r="E47" i="16"/>
  <c r="I47" i="16"/>
  <c r="E48" i="16"/>
  <c r="C129" i="17" s="1"/>
  <c r="C131" i="17" s="1"/>
  <c r="I48" i="16"/>
  <c r="E49" i="16"/>
  <c r="I49" i="16"/>
  <c r="E50" i="16"/>
  <c r="C137" i="17" s="1"/>
  <c r="C139" i="17" s="1"/>
  <c r="L50" i="16"/>
  <c r="I50" i="16" s="1"/>
  <c r="D137" i="17" s="1"/>
  <c r="F51" i="16"/>
  <c r="G51" i="16"/>
  <c r="H51" i="16"/>
  <c r="J51" i="16"/>
  <c r="K51" i="16"/>
  <c r="E52" i="16"/>
  <c r="I52" i="16"/>
  <c r="E53" i="16"/>
  <c r="I53" i="16"/>
  <c r="E54" i="16"/>
  <c r="I54" i="16"/>
  <c r="E55" i="16"/>
  <c r="I55" i="16"/>
  <c r="E56" i="16"/>
  <c r="L56" i="16"/>
  <c r="L51" i="16" s="1"/>
  <c r="F57" i="16"/>
  <c r="G57" i="16"/>
  <c r="H57" i="16"/>
  <c r="J57" i="16"/>
  <c r="K57" i="16"/>
  <c r="E58" i="16"/>
  <c r="I58" i="16"/>
  <c r="E59" i="16"/>
  <c r="I59" i="16"/>
  <c r="E60" i="16"/>
  <c r="I60" i="16"/>
  <c r="E61" i="16"/>
  <c r="I61" i="16"/>
  <c r="E62" i="16"/>
  <c r="I62" i="16"/>
  <c r="L62" i="16"/>
  <c r="L57" i="16" s="1"/>
  <c r="E63" i="16"/>
  <c r="C161" i="17" s="1"/>
  <c r="I63" i="16"/>
  <c r="D161" i="17" s="1"/>
  <c r="F65" i="16"/>
  <c r="F64" i="16" s="1"/>
  <c r="G65" i="16"/>
  <c r="H65" i="16"/>
  <c r="K65" i="16"/>
  <c r="E66" i="16"/>
  <c r="C167" i="17" s="1"/>
  <c r="C171" i="17" s="1"/>
  <c r="J66" i="16"/>
  <c r="J65" i="16" s="1"/>
  <c r="L66" i="16"/>
  <c r="L65" i="16" s="1"/>
  <c r="E67" i="16"/>
  <c r="I67" i="16"/>
  <c r="E68" i="16"/>
  <c r="I68" i="16"/>
  <c r="F69" i="16"/>
  <c r="G69" i="16"/>
  <c r="H69" i="16"/>
  <c r="J69" i="16"/>
  <c r="K69" i="16"/>
  <c r="L69" i="16"/>
  <c r="E70" i="16"/>
  <c r="I70" i="16"/>
  <c r="E71" i="16"/>
  <c r="C186" i="17" s="1"/>
  <c r="I71" i="16"/>
  <c r="E72" i="16"/>
  <c r="C191" i="17" s="1"/>
  <c r="I72" i="16"/>
  <c r="E73" i="16"/>
  <c r="C196" i="17" s="1"/>
  <c r="I73" i="16"/>
  <c r="D196" i="17" s="1"/>
  <c r="F75" i="16"/>
  <c r="F74" i="16" s="1"/>
  <c r="G75" i="16"/>
  <c r="G74" i="16" s="1"/>
  <c r="H75" i="16"/>
  <c r="H74" i="16" s="1"/>
  <c r="J75" i="16"/>
  <c r="J74" i="16" s="1"/>
  <c r="K75" i="16"/>
  <c r="K74" i="16" s="1"/>
  <c r="E76" i="16"/>
  <c r="L76" i="16"/>
  <c r="E77" i="16"/>
  <c r="I77" i="16"/>
  <c r="E78" i="16"/>
  <c r="I78" i="16"/>
  <c r="E79" i="16"/>
  <c r="L79" i="16"/>
  <c r="I79" i="16" s="1"/>
  <c r="E80" i="16"/>
  <c r="I80" i="16"/>
  <c r="E81" i="16"/>
  <c r="I81" i="16"/>
  <c r="E82" i="16"/>
  <c r="C220" i="17" s="1"/>
  <c r="I82" i="16"/>
  <c r="E9" i="14"/>
  <c r="F9" i="14"/>
  <c r="E10" i="14"/>
  <c r="F10" i="14"/>
  <c r="C11" i="14"/>
  <c r="D11" i="14"/>
  <c r="E12" i="14"/>
  <c r="F12" i="14"/>
  <c r="E14" i="14"/>
  <c r="F14" i="14"/>
  <c r="E15" i="14"/>
  <c r="F15" i="14"/>
  <c r="C16" i="14"/>
  <c r="D16" i="14"/>
  <c r="E16" i="14" s="1"/>
  <c r="E17" i="14"/>
  <c r="F17" i="14"/>
  <c r="E19" i="14"/>
  <c r="F19" i="14"/>
  <c r="E20" i="14"/>
  <c r="F20" i="14"/>
  <c r="C21" i="14"/>
  <c r="D21" i="14"/>
  <c r="E21" i="14" s="1"/>
  <c r="E22" i="14"/>
  <c r="F22" i="14"/>
  <c r="E24" i="14"/>
  <c r="F24" i="14"/>
  <c r="E25" i="14"/>
  <c r="F25" i="14"/>
  <c r="D26" i="14"/>
  <c r="E26" i="14" s="1"/>
  <c r="E27" i="14"/>
  <c r="F27" i="14"/>
  <c r="E29" i="14"/>
  <c r="F29" i="14"/>
  <c r="E30" i="14"/>
  <c r="F30" i="14"/>
  <c r="E32" i="14"/>
  <c r="F32" i="14"/>
  <c r="E33" i="14"/>
  <c r="F33" i="14"/>
  <c r="C34" i="14"/>
  <c r="D34" i="14"/>
  <c r="F34" i="14"/>
  <c r="E35" i="14"/>
  <c r="F35" i="14"/>
  <c r="E37" i="14"/>
  <c r="F37" i="14"/>
  <c r="E38" i="14"/>
  <c r="F38" i="14"/>
  <c r="E39" i="14"/>
  <c r="F39" i="14"/>
  <c r="E40" i="14"/>
  <c r="F40" i="14"/>
  <c r="E42" i="14"/>
  <c r="F42" i="14"/>
  <c r="E43" i="14"/>
  <c r="F43" i="14"/>
  <c r="D44" i="14"/>
  <c r="E44" i="14"/>
  <c r="F44" i="14"/>
  <c r="E45" i="14"/>
  <c r="F45" i="14"/>
  <c r="D47" i="14"/>
  <c r="E48" i="14"/>
  <c r="F48" i="14"/>
  <c r="E50" i="14"/>
  <c r="F50" i="14"/>
  <c r="E51" i="14"/>
  <c r="F51" i="14"/>
  <c r="C52" i="14"/>
  <c r="D52" i="14"/>
  <c r="F52" i="14" s="1"/>
  <c r="E54" i="14"/>
  <c r="F54" i="14"/>
  <c r="E55" i="14"/>
  <c r="F55" i="14"/>
  <c r="C56" i="14"/>
  <c r="E56" i="14"/>
  <c r="F56" i="14"/>
  <c r="E58" i="14"/>
  <c r="F58" i="14"/>
  <c r="E59" i="14"/>
  <c r="F59" i="14"/>
  <c r="C60" i="14"/>
  <c r="E61" i="14"/>
  <c r="F61" i="14"/>
  <c r="E63" i="14"/>
  <c r="F63" i="14"/>
  <c r="E64" i="14"/>
  <c r="F64" i="14"/>
  <c r="C65" i="14"/>
  <c r="E65" i="14" s="1"/>
  <c r="E66" i="14"/>
  <c r="F66" i="14"/>
  <c r="E69" i="14"/>
  <c r="F69" i="14"/>
  <c r="E70" i="14"/>
  <c r="F70" i="14"/>
  <c r="C71" i="14"/>
  <c r="E71" i="14" s="1"/>
  <c r="F71" i="14"/>
  <c r="E72" i="14"/>
  <c r="F72" i="14"/>
  <c r="E74" i="14"/>
  <c r="F74" i="14"/>
  <c r="E75" i="14"/>
  <c r="F75" i="14"/>
  <c r="C76" i="14"/>
  <c r="E76" i="14"/>
  <c r="F76" i="14"/>
  <c r="E77" i="14"/>
  <c r="F77" i="14"/>
  <c r="E79" i="14"/>
  <c r="F79" i="14"/>
  <c r="E80" i="14"/>
  <c r="F80" i="14"/>
  <c r="E82" i="14"/>
  <c r="F82" i="14"/>
  <c r="E83" i="14"/>
  <c r="F83" i="14"/>
  <c r="C84" i="14"/>
  <c r="F84" i="14" s="1"/>
  <c r="D84" i="14"/>
  <c r="E85" i="14"/>
  <c r="F85" i="14"/>
  <c r="E88" i="14"/>
  <c r="F88" i="14"/>
  <c r="E90" i="14"/>
  <c r="F90" i="14"/>
  <c r="E91" i="14"/>
  <c r="F91" i="14"/>
  <c r="E93" i="14"/>
  <c r="F93" i="14"/>
  <c r="E94" i="14"/>
  <c r="F94" i="14"/>
  <c r="E96" i="14"/>
  <c r="F96" i="14"/>
  <c r="E97" i="14"/>
  <c r="F97" i="14"/>
  <c r="E99" i="14"/>
  <c r="F99" i="14"/>
  <c r="E100" i="14"/>
  <c r="F100" i="14"/>
  <c r="E102" i="14"/>
  <c r="F102" i="14"/>
  <c r="E103" i="14"/>
  <c r="F103" i="14"/>
  <c r="E104" i="14"/>
  <c r="F104" i="14"/>
  <c r="E105" i="14"/>
  <c r="F105" i="14"/>
  <c r="E106" i="14"/>
  <c r="F106" i="14"/>
  <c r="E108" i="14"/>
  <c r="F108" i="14"/>
  <c r="E109" i="14"/>
  <c r="F109" i="14"/>
  <c r="D110" i="14"/>
  <c r="E110" i="14" s="1"/>
  <c r="E111" i="14"/>
  <c r="F111" i="14"/>
  <c r="E113" i="14"/>
  <c r="F113" i="14"/>
  <c r="E117" i="14"/>
  <c r="F117" i="14"/>
  <c r="E118" i="14"/>
  <c r="F118" i="14"/>
  <c r="E120" i="14"/>
  <c r="F120" i="14"/>
  <c r="E121" i="14"/>
  <c r="F121" i="14"/>
  <c r="E123" i="14"/>
  <c r="F123" i="14"/>
  <c r="E124" i="14"/>
  <c r="F124" i="14"/>
  <c r="E127" i="14"/>
  <c r="F127" i="14"/>
  <c r="E128" i="14"/>
  <c r="F128" i="14"/>
  <c r="C129" i="14"/>
  <c r="D129" i="14"/>
  <c r="E130" i="14"/>
  <c r="F130" i="14"/>
  <c r="E132" i="14"/>
  <c r="F132" i="14"/>
  <c r="E133" i="14"/>
  <c r="F133" i="14"/>
  <c r="E135" i="14"/>
  <c r="F135" i="14"/>
  <c r="E136" i="14"/>
  <c r="F136" i="14"/>
  <c r="E138" i="14"/>
  <c r="F138" i="14"/>
  <c r="E139" i="14"/>
  <c r="F139" i="14"/>
  <c r="C140" i="14"/>
  <c r="D140" i="14"/>
  <c r="F140" i="14" s="1"/>
  <c r="E141" i="14"/>
  <c r="F141" i="14"/>
  <c r="E143" i="14"/>
  <c r="F143" i="14"/>
  <c r="E144" i="14"/>
  <c r="F144" i="14"/>
  <c r="E146" i="14"/>
  <c r="F146" i="14"/>
  <c r="E147" i="14"/>
  <c r="F147" i="14"/>
  <c r="D148" i="14"/>
  <c r="E148" i="14" s="1"/>
  <c r="F148" i="14"/>
  <c r="E149" i="14"/>
  <c r="F149" i="14"/>
  <c r="E152" i="14"/>
  <c r="F152" i="14"/>
  <c r="E153" i="14"/>
  <c r="F153" i="14"/>
  <c r="C154" i="14"/>
  <c r="D154" i="14"/>
  <c r="F154" i="14" s="1"/>
  <c r="E155" i="14"/>
  <c r="F155" i="14"/>
  <c r="E157" i="14"/>
  <c r="F157" i="14"/>
  <c r="E158" i="14"/>
  <c r="F158" i="14"/>
  <c r="D159" i="14"/>
  <c r="E159" i="14" s="1"/>
  <c r="E160" i="14"/>
  <c r="F160" i="14"/>
  <c r="E162" i="14"/>
  <c r="F162" i="14"/>
  <c r="E163" i="14"/>
  <c r="F163" i="14"/>
  <c r="D164" i="14"/>
  <c r="E164" i="14" s="1"/>
  <c r="E165" i="14"/>
  <c r="F165" i="14"/>
  <c r="E168" i="14"/>
  <c r="F168" i="14"/>
  <c r="E170" i="14"/>
  <c r="F170" i="14"/>
  <c r="E171" i="14"/>
  <c r="F171" i="14"/>
  <c r="E172" i="14"/>
  <c r="F172" i="14"/>
  <c r="E173" i="14"/>
  <c r="F173" i="14"/>
  <c r="E174" i="14"/>
  <c r="F174" i="14"/>
  <c r="E175" i="14"/>
  <c r="F175" i="14"/>
  <c r="E177" i="14"/>
  <c r="F177" i="14"/>
  <c r="E178" i="14"/>
  <c r="F178" i="14"/>
  <c r="D179" i="14"/>
  <c r="E180" i="14"/>
  <c r="F180" i="14"/>
  <c r="E182" i="14"/>
  <c r="F182" i="14"/>
  <c r="E183" i="14"/>
  <c r="F183" i="14"/>
  <c r="E184" i="14"/>
  <c r="F184" i="14"/>
  <c r="E185" i="14"/>
  <c r="F185" i="14"/>
  <c r="E189" i="14"/>
  <c r="F189" i="14"/>
  <c r="E190" i="14"/>
  <c r="F190" i="14"/>
  <c r="E191" i="14"/>
  <c r="F191" i="14"/>
  <c r="D192" i="14"/>
  <c r="E192" i="14" s="1"/>
  <c r="F192" i="14"/>
  <c r="E193" i="14"/>
  <c r="F193" i="14"/>
  <c r="E195" i="14"/>
  <c r="F195" i="14"/>
  <c r="E196" i="14"/>
  <c r="F196" i="14"/>
  <c r="E198" i="14"/>
  <c r="F198" i="14"/>
  <c r="E199" i="14"/>
  <c r="F199" i="14"/>
  <c r="E200" i="14"/>
  <c r="F200" i="14"/>
  <c r="E203" i="14"/>
  <c r="F203" i="14"/>
  <c r="E204" i="14"/>
  <c r="F204" i="14"/>
  <c r="E205" i="14"/>
  <c r="F205" i="14"/>
  <c r="E206" i="14"/>
  <c r="F206" i="14"/>
  <c r="E207" i="14"/>
  <c r="F207" i="14"/>
  <c r="E208" i="14"/>
  <c r="F208" i="14"/>
  <c r="E210" i="14"/>
  <c r="F210" i="14"/>
  <c r="E211" i="14"/>
  <c r="F211" i="14"/>
  <c r="E212" i="14"/>
  <c r="F212" i="14"/>
  <c r="E213" i="14"/>
  <c r="F213" i="14"/>
  <c r="E214" i="14"/>
  <c r="F214" i="14"/>
  <c r="E216" i="14"/>
  <c r="F216" i="14"/>
  <c r="E217" i="14"/>
  <c r="F217" i="14"/>
  <c r="E218" i="14"/>
  <c r="F218" i="14"/>
  <c r="E219" i="14"/>
  <c r="F219" i="14"/>
  <c r="E220" i="14"/>
  <c r="F220" i="14"/>
  <c r="E221" i="14"/>
  <c r="F221" i="14"/>
  <c r="E223" i="14"/>
  <c r="F223" i="14"/>
  <c r="E224" i="14"/>
  <c r="F224" i="14"/>
  <c r="E226" i="14"/>
  <c r="F226" i="14"/>
  <c r="E227" i="14"/>
  <c r="F227" i="14"/>
  <c r="E229" i="14"/>
  <c r="F229" i="14"/>
  <c r="E230" i="14"/>
  <c r="F230" i="14"/>
  <c r="D231" i="14"/>
  <c r="E232" i="14"/>
  <c r="F232" i="14"/>
  <c r="E235" i="14"/>
  <c r="F235" i="14"/>
  <c r="E236" i="14"/>
  <c r="F236" i="14"/>
  <c r="C237" i="14"/>
  <c r="D237" i="14"/>
  <c r="E238" i="14"/>
  <c r="F238" i="14"/>
  <c r="E240" i="14"/>
  <c r="F240" i="14"/>
  <c r="E241" i="14"/>
  <c r="F241" i="14"/>
  <c r="E243" i="14"/>
  <c r="F243" i="14"/>
  <c r="E244" i="14"/>
  <c r="F244" i="14"/>
  <c r="E245" i="14"/>
  <c r="F245" i="14"/>
  <c r="E246" i="14"/>
  <c r="F246" i="14"/>
  <c r="E248" i="14"/>
  <c r="F248" i="14"/>
  <c r="D249" i="14"/>
  <c r="E250" i="14"/>
  <c r="F250" i="14"/>
  <c r="F9" i="13"/>
  <c r="G9" i="13"/>
  <c r="H9" i="13"/>
  <c r="J9" i="13"/>
  <c r="K9" i="13"/>
  <c r="L9" i="13"/>
  <c r="E10" i="13"/>
  <c r="I10" i="13"/>
  <c r="E11" i="13"/>
  <c r="I11" i="13"/>
  <c r="E12" i="13"/>
  <c r="I12" i="13"/>
  <c r="E13" i="13"/>
  <c r="I13" i="13"/>
  <c r="E14" i="13"/>
  <c r="I14" i="13"/>
  <c r="E15" i="13"/>
  <c r="I15" i="13"/>
  <c r="E16" i="13"/>
  <c r="I16" i="13"/>
  <c r="E17" i="13"/>
  <c r="I17" i="13"/>
  <c r="F18" i="13"/>
  <c r="G18" i="13"/>
  <c r="H18" i="13"/>
  <c r="J18" i="13"/>
  <c r="K18" i="13"/>
  <c r="L18" i="13"/>
  <c r="E19" i="13"/>
  <c r="I19" i="13"/>
  <c r="E20" i="13"/>
  <c r="I20" i="13"/>
  <c r="E21" i="13"/>
  <c r="I21" i="13"/>
  <c r="F22" i="13"/>
  <c r="G22" i="13"/>
  <c r="H22" i="13"/>
  <c r="J22" i="13"/>
  <c r="K22" i="13"/>
  <c r="L22" i="13"/>
  <c r="E23" i="13"/>
  <c r="I23" i="13"/>
  <c r="E24" i="13"/>
  <c r="I24" i="13"/>
  <c r="E25" i="13"/>
  <c r="I25" i="13"/>
  <c r="E26" i="13"/>
  <c r="I26" i="13"/>
  <c r="E28" i="13"/>
  <c r="I28" i="13"/>
  <c r="I29" i="13"/>
  <c r="I30" i="13"/>
  <c r="I31" i="13"/>
  <c r="E32" i="13"/>
  <c r="I32" i="13"/>
  <c r="F33" i="13"/>
  <c r="G33" i="13"/>
  <c r="H33" i="13"/>
  <c r="J33" i="13"/>
  <c r="K33" i="13"/>
  <c r="L33" i="13"/>
  <c r="E34" i="13"/>
  <c r="I34" i="13"/>
  <c r="E35" i="13"/>
  <c r="I35" i="13"/>
  <c r="E36" i="13"/>
  <c r="I36" i="13"/>
  <c r="G38" i="13"/>
  <c r="E39" i="13"/>
  <c r="E40" i="13"/>
  <c r="F42" i="13"/>
  <c r="G42" i="13"/>
  <c r="H42" i="13"/>
  <c r="J42" i="13"/>
  <c r="K42" i="13"/>
  <c r="L42" i="13"/>
  <c r="E43" i="13"/>
  <c r="I43" i="13"/>
  <c r="E44" i="13"/>
  <c r="E45" i="13"/>
  <c r="E46" i="13"/>
  <c r="I46" i="13"/>
  <c r="E47" i="13"/>
  <c r="I47" i="13"/>
  <c r="E48" i="13"/>
  <c r="I48" i="13"/>
  <c r="G50" i="13"/>
  <c r="G49" i="13" s="1"/>
  <c r="J50" i="13"/>
  <c r="J49" i="13" s="1"/>
  <c r="K50" i="13"/>
  <c r="K49" i="13" s="1"/>
  <c r="L50" i="13"/>
  <c r="L49" i="13" s="1"/>
  <c r="I51" i="13"/>
  <c r="I52" i="13"/>
  <c r="I53" i="13"/>
  <c r="I54" i="13"/>
  <c r="I55" i="13"/>
  <c r="L56" i="13"/>
  <c r="F57" i="13"/>
  <c r="F56" i="13" s="1"/>
  <c r="F55" i="13" s="1"/>
  <c r="G57" i="13"/>
  <c r="G56" i="13" s="1"/>
  <c r="H57" i="13"/>
  <c r="H56" i="13" s="1"/>
  <c r="H55" i="13" s="1"/>
  <c r="H54" i="13" s="1"/>
  <c r="H53" i="13" s="1"/>
  <c r="H52" i="13" s="1"/>
  <c r="H51" i="13" s="1"/>
  <c r="H50" i="13" s="1"/>
  <c r="H49" i="13" s="1"/>
  <c r="J57" i="13"/>
  <c r="K57" i="13"/>
  <c r="K56" i="13" s="1"/>
  <c r="E58" i="13"/>
  <c r="I58" i="13"/>
  <c r="E59" i="13"/>
  <c r="I59" i="13"/>
  <c r="E60" i="13"/>
  <c r="I60" i="13"/>
  <c r="E61" i="13"/>
  <c r="I61" i="13"/>
  <c r="E62" i="13"/>
  <c r="I62" i="13"/>
  <c r="E63" i="13"/>
  <c r="F65" i="13"/>
  <c r="G65" i="13"/>
  <c r="H65" i="13"/>
  <c r="J65" i="13"/>
  <c r="K65" i="13"/>
  <c r="L65" i="13"/>
  <c r="E66" i="13"/>
  <c r="I66" i="13"/>
  <c r="E67" i="13"/>
  <c r="I67" i="13"/>
  <c r="E68" i="13"/>
  <c r="I68" i="13"/>
  <c r="E69" i="13"/>
  <c r="I69" i="13"/>
  <c r="F70" i="13"/>
  <c r="G70" i="13"/>
  <c r="H70" i="13"/>
  <c r="J70" i="13"/>
  <c r="K70" i="13"/>
  <c r="L70" i="13"/>
  <c r="E71" i="13"/>
  <c r="E70" i="13" s="1"/>
  <c r="I71" i="13"/>
  <c r="I70" i="13" s="1"/>
  <c r="F72" i="13"/>
  <c r="G72" i="13"/>
  <c r="H72" i="13"/>
  <c r="J72" i="13"/>
  <c r="K72" i="13"/>
  <c r="L72" i="13"/>
  <c r="E73" i="13"/>
  <c r="I73" i="13"/>
  <c r="E74" i="13"/>
  <c r="I74" i="13"/>
  <c r="E75" i="13"/>
  <c r="I75" i="13"/>
  <c r="E78" i="13"/>
  <c r="I78" i="13"/>
  <c r="E80" i="13"/>
  <c r="I80" i="13"/>
  <c r="E81" i="13"/>
  <c r="E82" i="13"/>
  <c r="I82" i="13"/>
  <c r="C103" i="13"/>
  <c r="D103" i="13"/>
  <c r="E9" i="11"/>
  <c r="F9" i="11"/>
  <c r="E10" i="11"/>
  <c r="F10" i="11"/>
  <c r="C11" i="11"/>
  <c r="D11" i="11"/>
  <c r="E12" i="11"/>
  <c r="F12" i="11"/>
  <c r="E14" i="11"/>
  <c r="F14" i="11"/>
  <c r="E15" i="11"/>
  <c r="F15" i="11"/>
  <c r="C16" i="11"/>
  <c r="D16" i="11"/>
  <c r="F16" i="11" s="1"/>
  <c r="E17" i="11"/>
  <c r="F17" i="11"/>
  <c r="E19" i="11"/>
  <c r="F19" i="11"/>
  <c r="E20" i="11"/>
  <c r="F20" i="11"/>
  <c r="C21" i="11"/>
  <c r="D21" i="11"/>
  <c r="E22" i="11"/>
  <c r="F22" i="11"/>
  <c r="E24" i="11"/>
  <c r="F24" i="11"/>
  <c r="E25" i="11"/>
  <c r="F25" i="11"/>
  <c r="D26" i="11"/>
  <c r="E26" i="11" s="1"/>
  <c r="E27" i="11"/>
  <c r="F27" i="11"/>
  <c r="E29" i="11"/>
  <c r="F29" i="11"/>
  <c r="E30" i="11"/>
  <c r="F30" i="11"/>
  <c r="E32" i="11"/>
  <c r="F32" i="11"/>
  <c r="E33" i="11"/>
  <c r="F33" i="11"/>
  <c r="C34" i="11"/>
  <c r="D34" i="11"/>
  <c r="F34" i="11" s="1"/>
  <c r="E35" i="11"/>
  <c r="F35" i="11"/>
  <c r="E37" i="11"/>
  <c r="F37" i="11"/>
  <c r="E38" i="11"/>
  <c r="F38" i="11"/>
  <c r="E39" i="11"/>
  <c r="F39" i="11"/>
  <c r="E40" i="11"/>
  <c r="F40" i="11"/>
  <c r="E42" i="11"/>
  <c r="F42" i="11"/>
  <c r="E43" i="11"/>
  <c r="F43" i="11"/>
  <c r="D44" i="11"/>
  <c r="F44" i="11" s="1"/>
  <c r="E45" i="11"/>
  <c r="F45" i="11"/>
  <c r="D47" i="11"/>
  <c r="E48" i="11"/>
  <c r="F48" i="11"/>
  <c r="E50" i="11"/>
  <c r="F50" i="11"/>
  <c r="E51" i="11"/>
  <c r="F51" i="11"/>
  <c r="C52" i="11"/>
  <c r="D52" i="11"/>
  <c r="E54" i="11"/>
  <c r="F54" i="11"/>
  <c r="E55" i="11"/>
  <c r="F55" i="11"/>
  <c r="C56" i="11"/>
  <c r="F56" i="11" s="1"/>
  <c r="E56" i="11"/>
  <c r="E58" i="11"/>
  <c r="F58" i="11"/>
  <c r="E59" i="11"/>
  <c r="F59" i="11"/>
  <c r="C60" i="11"/>
  <c r="E60" i="11" s="1"/>
  <c r="E61" i="11"/>
  <c r="F61" i="11"/>
  <c r="E63" i="11"/>
  <c r="F63" i="11"/>
  <c r="E64" i="11"/>
  <c r="F64" i="11"/>
  <c r="C65" i="11"/>
  <c r="E65" i="11" s="1"/>
  <c r="E66" i="11"/>
  <c r="F66" i="11"/>
  <c r="E69" i="11"/>
  <c r="F69" i="11"/>
  <c r="E70" i="11"/>
  <c r="F70" i="11"/>
  <c r="C71" i="11"/>
  <c r="E71" i="11" s="1"/>
  <c r="E72" i="11"/>
  <c r="F72" i="11"/>
  <c r="E74" i="11"/>
  <c r="F74" i="11"/>
  <c r="E75" i="11"/>
  <c r="F75" i="11"/>
  <c r="C76" i="11"/>
  <c r="F76" i="11" s="1"/>
  <c r="E77" i="11"/>
  <c r="F77" i="11"/>
  <c r="E79" i="11"/>
  <c r="F79" i="11"/>
  <c r="E80" i="11"/>
  <c r="F80" i="11"/>
  <c r="E82" i="11"/>
  <c r="F82" i="11"/>
  <c r="E83" i="11"/>
  <c r="F83" i="11"/>
  <c r="C84" i="11"/>
  <c r="D84" i="11"/>
  <c r="E85" i="11"/>
  <c r="F85" i="11"/>
  <c r="E88" i="11"/>
  <c r="F88" i="11"/>
  <c r="E90" i="11"/>
  <c r="F90" i="11"/>
  <c r="E91" i="11"/>
  <c r="F91" i="11"/>
  <c r="E93" i="11"/>
  <c r="F93" i="11"/>
  <c r="E94" i="11"/>
  <c r="F94" i="11"/>
  <c r="E96" i="11"/>
  <c r="F96" i="11"/>
  <c r="E97" i="11"/>
  <c r="F97" i="11"/>
  <c r="E99" i="11"/>
  <c r="F99" i="11"/>
  <c r="E100" i="11"/>
  <c r="F100" i="11"/>
  <c r="E102" i="11"/>
  <c r="F102" i="11"/>
  <c r="E103" i="11"/>
  <c r="F103" i="11"/>
  <c r="E104" i="11"/>
  <c r="F104" i="11"/>
  <c r="E105" i="11"/>
  <c r="F105" i="11"/>
  <c r="E106" i="11"/>
  <c r="F106" i="11"/>
  <c r="E108" i="11"/>
  <c r="F108" i="11"/>
  <c r="E109" i="11"/>
  <c r="F109" i="11"/>
  <c r="D110" i="11"/>
  <c r="E110" i="11" s="1"/>
  <c r="E111" i="11"/>
  <c r="F111" i="11"/>
  <c r="E113" i="11"/>
  <c r="F113" i="11"/>
  <c r="E117" i="11"/>
  <c r="F117" i="11"/>
  <c r="E118" i="11"/>
  <c r="F118" i="11"/>
  <c r="E120" i="11"/>
  <c r="F120" i="11"/>
  <c r="E121" i="11"/>
  <c r="F121" i="11"/>
  <c r="E123" i="11"/>
  <c r="F123" i="11"/>
  <c r="E124" i="11"/>
  <c r="F124" i="11"/>
  <c r="E127" i="11"/>
  <c r="F127" i="11"/>
  <c r="E128" i="11"/>
  <c r="F128" i="11"/>
  <c r="C129" i="11"/>
  <c r="D129" i="11"/>
  <c r="E130" i="11"/>
  <c r="F130" i="11"/>
  <c r="E132" i="11"/>
  <c r="F132" i="11"/>
  <c r="E133" i="11"/>
  <c r="F133" i="11"/>
  <c r="E135" i="11"/>
  <c r="F135" i="11"/>
  <c r="E136" i="11"/>
  <c r="F136" i="11"/>
  <c r="E138" i="11"/>
  <c r="F138" i="11"/>
  <c r="E139" i="11"/>
  <c r="F139" i="11"/>
  <c r="C140" i="11"/>
  <c r="F140" i="11" s="1"/>
  <c r="D140" i="11"/>
  <c r="E140" i="11"/>
  <c r="E141" i="11"/>
  <c r="F141" i="11"/>
  <c r="E143" i="11"/>
  <c r="F143" i="11"/>
  <c r="E144" i="11"/>
  <c r="F144" i="11"/>
  <c r="E146" i="11"/>
  <c r="F146" i="11"/>
  <c r="E147" i="11"/>
  <c r="F147" i="11"/>
  <c r="D148" i="11"/>
  <c r="F148" i="11" s="1"/>
  <c r="E149" i="11"/>
  <c r="F149" i="11"/>
  <c r="E152" i="11"/>
  <c r="F152" i="11"/>
  <c r="E153" i="11"/>
  <c r="F153" i="11"/>
  <c r="C154" i="11"/>
  <c r="F154" i="11" s="1"/>
  <c r="D154" i="11"/>
  <c r="E155" i="11"/>
  <c r="F155" i="11"/>
  <c r="E157" i="11"/>
  <c r="F157" i="11"/>
  <c r="E158" i="11"/>
  <c r="F158" i="11"/>
  <c r="D159" i="11"/>
  <c r="E159" i="11" s="1"/>
  <c r="F159" i="11"/>
  <c r="E160" i="11"/>
  <c r="F160" i="11"/>
  <c r="E162" i="11"/>
  <c r="F162" i="11"/>
  <c r="E163" i="11"/>
  <c r="F163" i="11"/>
  <c r="D164" i="11"/>
  <c r="E164" i="11" s="1"/>
  <c r="F164" i="11"/>
  <c r="E165" i="11"/>
  <c r="F165" i="11"/>
  <c r="E168" i="11"/>
  <c r="F168" i="11"/>
  <c r="E170" i="11"/>
  <c r="F170" i="11"/>
  <c r="E171" i="11"/>
  <c r="F171" i="11"/>
  <c r="E172" i="11"/>
  <c r="F172" i="11"/>
  <c r="E173" i="11"/>
  <c r="F173" i="11"/>
  <c r="E174" i="11"/>
  <c r="F174" i="11"/>
  <c r="E175" i="11"/>
  <c r="F175" i="11"/>
  <c r="E177" i="11"/>
  <c r="F177" i="11"/>
  <c r="E178" i="11"/>
  <c r="F178" i="11"/>
  <c r="D179" i="11"/>
  <c r="E180" i="11"/>
  <c r="F180" i="11"/>
  <c r="E182" i="11"/>
  <c r="F182" i="11"/>
  <c r="E183" i="11"/>
  <c r="F183" i="11"/>
  <c r="E184" i="11"/>
  <c r="F184" i="11"/>
  <c r="E185" i="11"/>
  <c r="F185" i="11"/>
  <c r="E189" i="11"/>
  <c r="F189" i="11"/>
  <c r="E190" i="11"/>
  <c r="F190" i="11"/>
  <c r="E191" i="11"/>
  <c r="F191" i="11"/>
  <c r="D192" i="11"/>
  <c r="F192" i="11" s="1"/>
  <c r="E193" i="11"/>
  <c r="F193" i="11"/>
  <c r="E195" i="11"/>
  <c r="F195" i="11"/>
  <c r="E196" i="11"/>
  <c r="F196" i="11"/>
  <c r="E198" i="11"/>
  <c r="F198" i="11"/>
  <c r="E199" i="11"/>
  <c r="F199" i="11"/>
  <c r="E200" i="11"/>
  <c r="F200" i="11"/>
  <c r="E203" i="11"/>
  <c r="F203" i="11"/>
  <c r="E204" i="11"/>
  <c r="F204" i="11"/>
  <c r="E205" i="11"/>
  <c r="F205" i="11"/>
  <c r="E206" i="11"/>
  <c r="F206" i="11"/>
  <c r="E207" i="11"/>
  <c r="F207" i="11"/>
  <c r="E208" i="11"/>
  <c r="F208" i="11"/>
  <c r="E210" i="11"/>
  <c r="F210" i="11"/>
  <c r="E211" i="11"/>
  <c r="F211" i="11"/>
  <c r="E212" i="11"/>
  <c r="F212" i="11"/>
  <c r="E213" i="11"/>
  <c r="F213" i="11"/>
  <c r="E214" i="11"/>
  <c r="F214" i="11"/>
  <c r="E216" i="11"/>
  <c r="F216" i="11"/>
  <c r="E217" i="11"/>
  <c r="F217" i="11"/>
  <c r="E218" i="11"/>
  <c r="F218" i="11"/>
  <c r="E219" i="11"/>
  <c r="F219" i="11"/>
  <c r="E220" i="11"/>
  <c r="F220" i="11"/>
  <c r="E221" i="11"/>
  <c r="F221" i="11"/>
  <c r="E223" i="11"/>
  <c r="F223" i="11"/>
  <c r="E224" i="11"/>
  <c r="F224" i="11"/>
  <c r="E226" i="11"/>
  <c r="F226" i="11"/>
  <c r="E227" i="11"/>
  <c r="F227" i="11"/>
  <c r="E229" i="11"/>
  <c r="F229" i="11"/>
  <c r="E230" i="11"/>
  <c r="F230" i="11"/>
  <c r="D231" i="11"/>
  <c r="E232" i="11"/>
  <c r="F232" i="11"/>
  <c r="E235" i="11"/>
  <c r="F235" i="11"/>
  <c r="E236" i="11"/>
  <c r="F236" i="11"/>
  <c r="C237" i="11"/>
  <c r="D237" i="11"/>
  <c r="E238" i="11"/>
  <c r="F238" i="11"/>
  <c r="E240" i="11"/>
  <c r="F240" i="11"/>
  <c r="E241" i="11"/>
  <c r="F241" i="11"/>
  <c r="E243" i="11"/>
  <c r="F243" i="11"/>
  <c r="E244" i="11"/>
  <c r="F244" i="11"/>
  <c r="E245" i="11"/>
  <c r="F245" i="11"/>
  <c r="E246" i="11"/>
  <c r="F246" i="11"/>
  <c r="E248" i="11"/>
  <c r="F248" i="11"/>
  <c r="D249" i="11"/>
  <c r="E250" i="11"/>
  <c r="F250" i="11"/>
  <c r="F9" i="7"/>
  <c r="G9" i="7"/>
  <c r="H9" i="7"/>
  <c r="J9" i="7"/>
  <c r="K9" i="7"/>
  <c r="L9" i="7"/>
  <c r="E10" i="7"/>
  <c r="I10" i="7"/>
  <c r="E11" i="7"/>
  <c r="I11" i="7"/>
  <c r="E12" i="7"/>
  <c r="I12" i="7"/>
  <c r="E13" i="7"/>
  <c r="I13" i="7"/>
  <c r="E14" i="7"/>
  <c r="I14" i="7"/>
  <c r="E15" i="7"/>
  <c r="L15" i="7"/>
  <c r="I15" i="7" s="1"/>
  <c r="E16" i="7"/>
  <c r="I16" i="7"/>
  <c r="E17" i="7"/>
  <c r="I17" i="7"/>
  <c r="F18" i="7"/>
  <c r="G18" i="7"/>
  <c r="H18" i="7"/>
  <c r="J18" i="7"/>
  <c r="K18" i="7"/>
  <c r="L18" i="7"/>
  <c r="E19" i="7"/>
  <c r="I19" i="7"/>
  <c r="E20" i="7"/>
  <c r="I20" i="7"/>
  <c r="E21" i="7"/>
  <c r="I21" i="7"/>
  <c r="F22" i="7"/>
  <c r="G22" i="7"/>
  <c r="H22" i="7"/>
  <c r="J22" i="7"/>
  <c r="K22" i="7"/>
  <c r="E23" i="7"/>
  <c r="I23" i="7"/>
  <c r="E24" i="7"/>
  <c r="L24" i="7"/>
  <c r="L22" i="7" s="1"/>
  <c r="E25" i="7"/>
  <c r="I25" i="7"/>
  <c r="E26" i="7"/>
  <c r="I26" i="7"/>
  <c r="E28" i="7"/>
  <c r="I28" i="7"/>
  <c r="I29" i="7"/>
  <c r="I30" i="7"/>
  <c r="I31" i="7"/>
  <c r="E32" i="7"/>
  <c r="I32" i="7"/>
  <c r="F33" i="7"/>
  <c r="G33" i="7"/>
  <c r="H33" i="7"/>
  <c r="J33" i="7"/>
  <c r="K33" i="7"/>
  <c r="L33" i="7"/>
  <c r="E34" i="7"/>
  <c r="I34" i="7"/>
  <c r="E35" i="7"/>
  <c r="I35" i="7"/>
  <c r="E36" i="7"/>
  <c r="I36" i="7"/>
  <c r="F42" i="7"/>
  <c r="G42" i="7"/>
  <c r="H42" i="7"/>
  <c r="J42" i="7"/>
  <c r="K42" i="7"/>
  <c r="E43" i="7"/>
  <c r="I43" i="7"/>
  <c r="E44" i="7"/>
  <c r="E45" i="7"/>
  <c r="E46" i="7"/>
  <c r="L46" i="7"/>
  <c r="L42" i="7" s="1"/>
  <c r="E47" i="7"/>
  <c r="I47" i="7"/>
  <c r="E48" i="7"/>
  <c r="I48" i="7"/>
  <c r="G50" i="7"/>
  <c r="G49" i="7" s="1"/>
  <c r="K50" i="7"/>
  <c r="K49" i="7" s="1"/>
  <c r="L50" i="7"/>
  <c r="L49" i="7" s="1"/>
  <c r="I54" i="7"/>
  <c r="I55" i="7"/>
  <c r="F57" i="7"/>
  <c r="F56" i="7" s="1"/>
  <c r="F55" i="7" s="1"/>
  <c r="G57" i="7"/>
  <c r="G56" i="7" s="1"/>
  <c r="H57" i="7"/>
  <c r="H56" i="7" s="1"/>
  <c r="H55" i="7" s="1"/>
  <c r="H54" i="7" s="1"/>
  <c r="H53" i="7" s="1"/>
  <c r="H52" i="7" s="1"/>
  <c r="H51" i="7" s="1"/>
  <c r="H50" i="7" s="1"/>
  <c r="H49" i="7" s="1"/>
  <c r="J57" i="7"/>
  <c r="J56" i="7" s="1"/>
  <c r="J53" i="7" s="1"/>
  <c r="K57" i="7"/>
  <c r="K56" i="7" s="1"/>
  <c r="L57" i="7"/>
  <c r="L56" i="7" s="1"/>
  <c r="E58" i="7"/>
  <c r="I58" i="7"/>
  <c r="E59" i="7"/>
  <c r="I59" i="7"/>
  <c r="E60" i="7"/>
  <c r="I60" i="7"/>
  <c r="E61" i="7"/>
  <c r="I61" i="7"/>
  <c r="E62" i="7"/>
  <c r="I62" i="7"/>
  <c r="E63" i="7"/>
  <c r="F65" i="7"/>
  <c r="G65" i="7"/>
  <c r="H65" i="7"/>
  <c r="J65" i="7"/>
  <c r="K65" i="7"/>
  <c r="L65" i="7"/>
  <c r="E66" i="7"/>
  <c r="I66" i="7"/>
  <c r="E67" i="7"/>
  <c r="I67" i="7"/>
  <c r="E68" i="7"/>
  <c r="I68" i="7"/>
  <c r="E69" i="7"/>
  <c r="I69" i="7"/>
  <c r="F70" i="7"/>
  <c r="H70" i="7"/>
  <c r="J70" i="7"/>
  <c r="K70" i="7"/>
  <c r="L70" i="7"/>
  <c r="E71" i="7"/>
  <c r="E70" i="7" s="1"/>
  <c r="G71" i="7"/>
  <c r="G70" i="7" s="1"/>
  <c r="I71" i="7"/>
  <c r="I70" i="7" s="1"/>
  <c r="F72" i="7"/>
  <c r="G72" i="7"/>
  <c r="H72" i="7"/>
  <c r="J72" i="7"/>
  <c r="K72" i="7"/>
  <c r="L72" i="7"/>
  <c r="E73" i="7"/>
  <c r="I73" i="7"/>
  <c r="E74" i="7"/>
  <c r="I74" i="7"/>
  <c r="E75" i="7"/>
  <c r="I75" i="7"/>
  <c r="E78" i="7"/>
  <c r="I78" i="7"/>
  <c r="E80" i="7"/>
  <c r="I80" i="7"/>
  <c r="E81" i="7"/>
  <c r="E82" i="7"/>
  <c r="I82" i="7"/>
  <c r="C103" i="7"/>
  <c r="D103" i="7"/>
  <c r="F178" i="22"/>
  <c r="F159" i="22"/>
  <c r="F140" i="22"/>
  <c r="F35" i="22"/>
  <c r="F32" i="22"/>
  <c r="F19" i="22"/>
  <c r="D18" i="20"/>
  <c r="E18" i="20" s="1"/>
  <c r="E16" i="20"/>
  <c r="F16" i="20"/>
  <c r="L12" i="19"/>
  <c r="D198" i="20"/>
  <c r="F198" i="20" s="1"/>
  <c r="F196" i="20"/>
  <c r="I75" i="19"/>
  <c r="I74" i="19"/>
  <c r="I75" i="21"/>
  <c r="I35" i="21"/>
  <c r="D91" i="22" s="1"/>
  <c r="I27" i="21"/>
  <c r="D65" i="22" s="1"/>
  <c r="D118" i="22"/>
  <c r="C171" i="22"/>
  <c r="C188" i="22"/>
  <c r="E188" i="22" s="1"/>
  <c r="C139" i="22"/>
  <c r="E75" i="21"/>
  <c r="C201" i="22" s="1"/>
  <c r="E201" i="22" s="1"/>
  <c r="C193" i="22"/>
  <c r="E193" i="22" s="1"/>
  <c r="E191" i="22"/>
  <c r="C49" i="22"/>
  <c r="C131" i="22"/>
  <c r="J12" i="21"/>
  <c r="I13" i="21"/>
  <c r="F18" i="20"/>
  <c r="E198" i="20"/>
  <c r="F193" i="22"/>
  <c r="E85" i="22"/>
  <c r="F137" i="22"/>
  <c r="I51" i="21"/>
  <c r="D142" i="22"/>
  <c r="D144" i="22" s="1"/>
  <c r="F94" i="22"/>
  <c r="F199" i="22"/>
  <c r="D57" i="22"/>
  <c r="F57" i="22" s="1"/>
  <c r="D47" i="22"/>
  <c r="D49" i="22" s="1"/>
  <c r="E113" i="22"/>
  <c r="I74" i="21"/>
  <c r="E186" i="22"/>
  <c r="D161" i="22"/>
  <c r="D163" i="22" s="1"/>
  <c r="D139" i="22"/>
  <c r="E81" i="22"/>
  <c r="F81" i="22"/>
  <c r="D70" i="22"/>
  <c r="E70" i="22" s="1"/>
  <c r="F47" i="22"/>
  <c r="I22" i="21"/>
  <c r="D52" i="22"/>
  <c r="D54" i="22" s="1"/>
  <c r="L12" i="21"/>
  <c r="D39" i="22"/>
  <c r="F31" i="22"/>
  <c r="E31" i="22"/>
  <c r="E26" i="22"/>
  <c r="F26" i="22"/>
  <c r="D28" i="22"/>
  <c r="E28" i="22" s="1"/>
  <c r="E21" i="22"/>
  <c r="F21" i="22"/>
  <c r="D23" i="22"/>
  <c r="F23" i="22" s="1"/>
  <c r="D16" i="22"/>
  <c r="F16" i="22" s="1"/>
  <c r="D201" i="22"/>
  <c r="D214" i="22" s="1"/>
  <c r="E47" i="22"/>
  <c r="E139" i="22"/>
  <c r="F139" i="22"/>
  <c r="F70" i="22"/>
  <c r="F28" i="22"/>
  <c r="D18" i="22"/>
  <c r="E16" i="22"/>
  <c r="D62" i="22" l="1"/>
  <c r="F188" i="22"/>
  <c r="B103" i="7"/>
  <c r="L95" i="7"/>
  <c r="E22" i="7"/>
  <c r="E192" i="11"/>
  <c r="E148" i="11"/>
  <c r="F110" i="11"/>
  <c r="E76" i="11"/>
  <c r="F71" i="11"/>
  <c r="F65" i="11"/>
  <c r="F52" i="11"/>
  <c r="E44" i="11"/>
  <c r="E16" i="11"/>
  <c r="B103" i="13"/>
  <c r="I57" i="13"/>
  <c r="E57" i="19"/>
  <c r="C147" i="20" s="1"/>
  <c r="K43" i="19"/>
  <c r="E44" i="19"/>
  <c r="F12" i="19"/>
  <c r="E22" i="19"/>
  <c r="E194" i="20"/>
  <c r="F194" i="20"/>
  <c r="E151" i="20"/>
  <c r="F151" i="20"/>
  <c r="E85" i="20"/>
  <c r="F85" i="20"/>
  <c r="E119" i="22"/>
  <c r="F119" i="22"/>
  <c r="E38" i="13"/>
  <c r="F65" i="14"/>
  <c r="E60" i="14"/>
  <c r="F60" i="14"/>
  <c r="F16" i="14"/>
  <c r="F32" i="16"/>
  <c r="E85" i="17"/>
  <c r="F85" i="17"/>
  <c r="F35" i="17"/>
  <c r="E32" i="17"/>
  <c r="F32" i="17"/>
  <c r="F19" i="17"/>
  <c r="C99" i="20"/>
  <c r="C108" i="20"/>
  <c r="F108" i="20" s="1"/>
  <c r="G32" i="19"/>
  <c r="L32" i="19"/>
  <c r="I32" i="19" s="1"/>
  <c r="E31" i="20"/>
  <c r="E205" i="20"/>
  <c r="F205" i="20"/>
  <c r="F164" i="20"/>
  <c r="D159" i="20"/>
  <c r="E159" i="20" s="1"/>
  <c r="D118" i="20"/>
  <c r="D54" i="20"/>
  <c r="E54" i="20" s="1"/>
  <c r="F52" i="20"/>
  <c r="F35" i="20"/>
  <c r="E32" i="20"/>
  <c r="F32" i="20"/>
  <c r="F64" i="21"/>
  <c r="E65" i="21"/>
  <c r="F43" i="21"/>
  <c r="E44" i="21"/>
  <c r="H32" i="21"/>
  <c r="F32" i="21"/>
  <c r="E135" i="22"/>
  <c r="E121" i="22"/>
  <c r="E40" i="21"/>
  <c r="L44" i="21"/>
  <c r="D129" i="22"/>
  <c r="E140" i="14"/>
  <c r="E34" i="14"/>
  <c r="F11" i="14"/>
  <c r="L75" i="16"/>
  <c r="L74" i="16" s="1"/>
  <c r="K43" i="16"/>
  <c r="G32" i="16"/>
  <c r="I27" i="16"/>
  <c r="D65" i="17" s="1"/>
  <c r="E22" i="16"/>
  <c r="E196" i="20"/>
  <c r="G64" i="19"/>
  <c r="I65" i="19"/>
  <c r="D167" i="20" s="1"/>
  <c r="H64" i="19"/>
  <c r="F64" i="19"/>
  <c r="F83" i="19" s="1"/>
  <c r="I57" i="19"/>
  <c r="D147" i="20" s="1"/>
  <c r="I51" i="19"/>
  <c r="D142" i="20" s="1"/>
  <c r="J43" i="19"/>
  <c r="E40" i="19"/>
  <c r="F32" i="19"/>
  <c r="G12" i="19"/>
  <c r="G83" i="19" s="1"/>
  <c r="I13" i="19"/>
  <c r="H12" i="19"/>
  <c r="F70" i="20"/>
  <c r="E22" i="21"/>
  <c r="F113" i="22"/>
  <c r="G32" i="21"/>
  <c r="G83" i="21" s="1"/>
  <c r="C94" i="21" s="1"/>
  <c r="G43" i="21"/>
  <c r="L64" i="21"/>
  <c r="I64" i="21" s="1"/>
  <c r="J32" i="21"/>
  <c r="I32" i="21" s="1"/>
  <c r="E49" i="22"/>
  <c r="F49" i="22"/>
  <c r="E144" i="22"/>
  <c r="F144" i="22"/>
  <c r="I9" i="7"/>
  <c r="E237" i="11"/>
  <c r="F237" i="11"/>
  <c r="E179" i="11"/>
  <c r="F179" i="11"/>
  <c r="E129" i="11"/>
  <c r="F129" i="11"/>
  <c r="E249" i="14"/>
  <c r="F249" i="14"/>
  <c r="E129" i="14"/>
  <c r="F129" i="14"/>
  <c r="E47" i="14"/>
  <c r="F47" i="14"/>
  <c r="H43" i="16"/>
  <c r="E188" i="20"/>
  <c r="F188" i="20"/>
  <c r="G95" i="7"/>
  <c r="E42" i="7"/>
  <c r="F201" i="22"/>
  <c r="E57" i="22"/>
  <c r="F142" i="22"/>
  <c r="E47" i="11"/>
  <c r="F47" i="11"/>
  <c r="E21" i="11"/>
  <c r="F21" i="11"/>
  <c r="E237" i="14"/>
  <c r="E231" i="14"/>
  <c r="F231" i="14"/>
  <c r="E84" i="14"/>
  <c r="E77" i="20"/>
  <c r="F77" i="20"/>
  <c r="F44" i="20"/>
  <c r="E44" i="20"/>
  <c r="E142" i="22"/>
  <c r="E23" i="22"/>
  <c r="E249" i="11"/>
  <c r="F249" i="11"/>
  <c r="E11" i="11"/>
  <c r="F11" i="11"/>
  <c r="I65" i="13"/>
  <c r="I9" i="13"/>
  <c r="E231" i="11"/>
  <c r="F231" i="11"/>
  <c r="F84" i="11"/>
  <c r="E84" i="11"/>
  <c r="E179" i="14"/>
  <c r="F179" i="14"/>
  <c r="F24" i="17"/>
  <c r="E24" i="17"/>
  <c r="E21" i="20"/>
  <c r="D23" i="20"/>
  <c r="E23" i="20" s="1"/>
  <c r="F140" i="20"/>
  <c r="E140" i="20"/>
  <c r="F121" i="20"/>
  <c r="E121" i="20"/>
  <c r="D39" i="20"/>
  <c r="C196" i="22"/>
  <c r="D99" i="22"/>
  <c r="I65" i="7"/>
  <c r="K95" i="7"/>
  <c r="F103" i="7" s="1"/>
  <c r="E18" i="7"/>
  <c r="E9" i="7"/>
  <c r="F60" i="11"/>
  <c r="E34" i="11"/>
  <c r="F26" i="11"/>
  <c r="E65" i="13"/>
  <c r="H95" i="13"/>
  <c r="I50" i="13"/>
  <c r="I49" i="13" s="1"/>
  <c r="I33" i="13"/>
  <c r="E18" i="13"/>
  <c r="E9" i="13"/>
  <c r="F237" i="14"/>
  <c r="F164" i="14"/>
  <c r="F159" i="14"/>
  <c r="F26" i="14"/>
  <c r="F21" i="14"/>
  <c r="I69" i="16"/>
  <c r="E69" i="16"/>
  <c r="K64" i="16"/>
  <c r="E51" i="16"/>
  <c r="C142" i="17" s="1"/>
  <c r="G43" i="16"/>
  <c r="J32" i="16"/>
  <c r="K12" i="16"/>
  <c r="F199" i="17"/>
  <c r="F178" i="17"/>
  <c r="F164" i="17"/>
  <c r="F127" i="17"/>
  <c r="F124" i="17"/>
  <c r="F121" i="17"/>
  <c r="F86" i="17"/>
  <c r="E69" i="19"/>
  <c r="K64" i="19"/>
  <c r="L43" i="19"/>
  <c r="L83" i="19" s="1"/>
  <c r="H32" i="19"/>
  <c r="E35" i="19"/>
  <c r="C91" i="20" s="1"/>
  <c r="E91" i="20" s="1"/>
  <c r="I22" i="19"/>
  <c r="F37" i="20"/>
  <c r="C39" i="20"/>
  <c r="K12" i="19"/>
  <c r="K83" i="19" s="1"/>
  <c r="F94" i="19" s="1"/>
  <c r="E161" i="20"/>
  <c r="F161" i="20"/>
  <c r="D163" i="20"/>
  <c r="D28" i="20"/>
  <c r="F28" i="20" s="1"/>
  <c r="F24" i="20"/>
  <c r="E24" i="20"/>
  <c r="I65" i="21"/>
  <c r="D167" i="22" s="1"/>
  <c r="E43" i="21"/>
  <c r="C106" i="22"/>
  <c r="F83" i="21"/>
  <c r="E129" i="22"/>
  <c r="E57" i="21"/>
  <c r="I72" i="7"/>
  <c r="E65" i="7"/>
  <c r="I57" i="7"/>
  <c r="I56" i="7" s="1"/>
  <c r="I33" i="7"/>
  <c r="I18" i="7"/>
  <c r="I72" i="13"/>
  <c r="E57" i="13"/>
  <c r="E56" i="13" s="1"/>
  <c r="L95" i="13"/>
  <c r="I42" i="13"/>
  <c r="E33" i="13"/>
  <c r="I22" i="13"/>
  <c r="I18" i="13"/>
  <c r="F110" i="14"/>
  <c r="E11" i="14"/>
  <c r="L64" i="16"/>
  <c r="H64" i="16"/>
  <c r="E57" i="16"/>
  <c r="C147" i="17" s="1"/>
  <c r="E44" i="16"/>
  <c r="E40" i="16"/>
  <c r="H32" i="16"/>
  <c r="E27" i="16"/>
  <c r="C65" i="17" s="1"/>
  <c r="G12" i="16"/>
  <c r="I13" i="16"/>
  <c r="F214" i="17"/>
  <c r="F194" i="17"/>
  <c r="F175" i="17"/>
  <c r="F172" i="17"/>
  <c r="F159" i="17"/>
  <c r="F140" i="17"/>
  <c r="F119" i="17"/>
  <c r="F94" i="17"/>
  <c r="D58" i="17"/>
  <c r="F40" i="17"/>
  <c r="F74" i="19"/>
  <c r="E74" i="19" s="1"/>
  <c r="E75" i="19"/>
  <c r="C201" i="20" s="1"/>
  <c r="I64" i="19"/>
  <c r="H43" i="19"/>
  <c r="E51" i="19"/>
  <c r="C142" i="20" s="1"/>
  <c r="C144" i="20" s="1"/>
  <c r="F43" i="19"/>
  <c r="E81" i="20"/>
  <c r="E42" i="20"/>
  <c r="F42" i="20"/>
  <c r="J12" i="19"/>
  <c r="J83" i="19" s="1"/>
  <c r="E12" i="19"/>
  <c r="F172" i="20"/>
  <c r="E172" i="20"/>
  <c r="F159" i="20"/>
  <c r="F153" i="20"/>
  <c r="E153" i="20"/>
  <c r="C131" i="20"/>
  <c r="F124" i="20"/>
  <c r="E124" i="20"/>
  <c r="F47" i="20"/>
  <c r="C220" i="22"/>
  <c r="E74" i="21"/>
  <c r="H64" i="21"/>
  <c r="H12" i="21"/>
  <c r="F63" i="22"/>
  <c r="E63" i="22"/>
  <c r="K12" i="21"/>
  <c r="I12" i="21" s="1"/>
  <c r="I12" i="19"/>
  <c r="E72" i="7"/>
  <c r="E57" i="7"/>
  <c r="E56" i="7" s="1"/>
  <c r="H95" i="7"/>
  <c r="E33" i="7"/>
  <c r="E154" i="11"/>
  <c r="E52" i="11"/>
  <c r="E72" i="13"/>
  <c r="E42" i="13"/>
  <c r="E22" i="13"/>
  <c r="E154" i="14"/>
  <c r="E52" i="14"/>
  <c r="G64" i="16"/>
  <c r="L32" i="16"/>
  <c r="F135" i="17"/>
  <c r="F70" i="17"/>
  <c r="F191" i="20"/>
  <c r="C193" i="20"/>
  <c r="F193" i="20" s="1"/>
  <c r="E32" i="19"/>
  <c r="F75" i="20"/>
  <c r="H83" i="19"/>
  <c r="F199" i="20"/>
  <c r="E199" i="20"/>
  <c r="E191" i="20"/>
  <c r="F132" i="20"/>
  <c r="E132" i="20"/>
  <c r="E106" i="20"/>
  <c r="F106" i="20"/>
  <c r="D49" i="20"/>
  <c r="E64" i="21"/>
  <c r="C161" i="22"/>
  <c r="F115" i="22"/>
  <c r="E115" i="22"/>
  <c r="J43" i="21"/>
  <c r="I57" i="21"/>
  <c r="D147" i="22" s="1"/>
  <c r="D158" i="22" s="1"/>
  <c r="I79" i="19"/>
  <c r="E186" i="20"/>
  <c r="D129" i="20"/>
  <c r="F129" i="20" s="1"/>
  <c r="E118" i="20"/>
  <c r="E113" i="20"/>
  <c r="F23" i="20"/>
  <c r="C75" i="22"/>
  <c r="C37" i="22"/>
  <c r="F207" i="20"/>
  <c r="F178" i="20"/>
  <c r="F157" i="20"/>
  <c r="F135" i="20"/>
  <c r="F127" i="20"/>
  <c r="F94" i="20"/>
  <c r="F86" i="20"/>
  <c r="F54" i="20"/>
  <c r="F40" i="20"/>
  <c r="F29" i="20"/>
  <c r="C42" i="22"/>
  <c r="F194" i="22"/>
  <c r="C118" i="22"/>
  <c r="E118" i="22" s="1"/>
  <c r="F50" i="22"/>
  <c r="F40" i="22"/>
  <c r="C52" i="22"/>
  <c r="C54" i="22" s="1"/>
  <c r="F54" i="22" s="1"/>
  <c r="I69" i="19"/>
  <c r="F186" i="20"/>
  <c r="F118" i="20"/>
  <c r="E115" i="20"/>
  <c r="F113" i="20"/>
  <c r="I103" i="7"/>
  <c r="F54" i="7"/>
  <c r="E55" i="7"/>
  <c r="J52" i="7"/>
  <c r="I53" i="7"/>
  <c r="E55" i="13"/>
  <c r="F54" i="13"/>
  <c r="E220" i="17"/>
  <c r="C222" i="17"/>
  <c r="F220" i="17"/>
  <c r="F196" i="17"/>
  <c r="C198" i="17"/>
  <c r="C193" i="17"/>
  <c r="F193" i="17" s="1"/>
  <c r="F191" i="17"/>
  <c r="F186" i="17"/>
  <c r="E186" i="17"/>
  <c r="C188" i="17"/>
  <c r="I65" i="16"/>
  <c r="D167" i="17" s="1"/>
  <c r="J64" i="16"/>
  <c r="E161" i="17"/>
  <c r="D163" i="17"/>
  <c r="C144" i="17"/>
  <c r="F75" i="17"/>
  <c r="E75" i="17"/>
  <c r="E65" i="17"/>
  <c r="C62" i="17"/>
  <c r="F47" i="17"/>
  <c r="C49" i="17"/>
  <c r="E42" i="17"/>
  <c r="F42" i="17"/>
  <c r="F26" i="17"/>
  <c r="C28" i="17"/>
  <c r="E201" i="20"/>
  <c r="F201" i="20"/>
  <c r="E167" i="20"/>
  <c r="F167" i="20"/>
  <c r="D171" i="20"/>
  <c r="E147" i="20"/>
  <c r="F147" i="20"/>
  <c r="D158" i="20"/>
  <c r="E142" i="20"/>
  <c r="F142" i="20"/>
  <c r="D144" i="20"/>
  <c r="F137" i="20"/>
  <c r="D139" i="20"/>
  <c r="E137" i="20"/>
  <c r="F91" i="20"/>
  <c r="K95" i="13"/>
  <c r="F103" i="13" s="1"/>
  <c r="G95" i="13"/>
  <c r="E74" i="16"/>
  <c r="I57" i="16"/>
  <c r="D147" i="17" s="1"/>
  <c r="I51" i="16"/>
  <c r="D142" i="17" s="1"/>
  <c r="F142" i="17" s="1"/>
  <c r="E196" i="17"/>
  <c r="D198" i="17"/>
  <c r="E198" i="17" s="1"/>
  <c r="F161" i="17"/>
  <c r="C163" i="17"/>
  <c r="E137" i="17"/>
  <c r="F137" i="17"/>
  <c r="D139" i="17"/>
  <c r="E113" i="17"/>
  <c r="D118" i="17"/>
  <c r="F113" i="17"/>
  <c r="C99" i="17"/>
  <c r="F106" i="17"/>
  <c r="C108" i="17"/>
  <c r="F108" i="17" s="1"/>
  <c r="E84" i="17"/>
  <c r="F84" i="17"/>
  <c r="E77" i="17"/>
  <c r="F77" i="17"/>
  <c r="E47" i="17"/>
  <c r="D49" i="17"/>
  <c r="E37" i="17"/>
  <c r="F37" i="17"/>
  <c r="D39" i="17"/>
  <c r="E31" i="17"/>
  <c r="F31" i="17"/>
  <c r="E26" i="17"/>
  <c r="D28" i="17"/>
  <c r="E28" i="17" s="1"/>
  <c r="E21" i="17"/>
  <c r="F21" i="17"/>
  <c r="D23" i="17"/>
  <c r="E16" i="17"/>
  <c r="F16" i="17"/>
  <c r="D18" i="17"/>
  <c r="E18" i="17" s="1"/>
  <c r="E58" i="17"/>
  <c r="D63" i="17"/>
  <c r="F58" i="17"/>
  <c r="E65" i="20"/>
  <c r="F65" i="20"/>
  <c r="F57" i="20"/>
  <c r="E57" i="20"/>
  <c r="D62" i="20"/>
  <c r="I74" i="16"/>
  <c r="E64" i="16"/>
  <c r="L43" i="16"/>
  <c r="E32" i="16"/>
  <c r="I22" i="16"/>
  <c r="G83" i="16"/>
  <c r="C94" i="16" s="1"/>
  <c r="L12" i="16"/>
  <c r="L83" i="16" s="1"/>
  <c r="F129" i="17"/>
  <c r="I43" i="19"/>
  <c r="J56" i="13"/>
  <c r="I56" i="13" s="1"/>
  <c r="I95" i="13" s="1"/>
  <c r="I76" i="16"/>
  <c r="I66" i="16"/>
  <c r="I56" i="16"/>
  <c r="I45" i="16"/>
  <c r="J44" i="16"/>
  <c r="F43" i="16"/>
  <c r="E43" i="16" s="1"/>
  <c r="I26" i="16"/>
  <c r="D57" i="17" s="1"/>
  <c r="F57" i="17" s="1"/>
  <c r="J12" i="16"/>
  <c r="H12" i="16"/>
  <c r="H83" i="16" s="1"/>
  <c r="F12" i="16"/>
  <c r="D131" i="17"/>
  <c r="C118" i="17"/>
  <c r="F118" i="17" s="1"/>
  <c r="E106" i="17"/>
  <c r="E59" i="17"/>
  <c r="I44" i="19"/>
  <c r="F220" i="20"/>
  <c r="F31" i="20"/>
  <c r="E26" i="20"/>
  <c r="F21" i="20"/>
  <c r="C147" i="22"/>
  <c r="C91" i="22"/>
  <c r="E91" i="22" s="1"/>
  <c r="I46" i="7"/>
  <c r="I42" i="7" s="1"/>
  <c r="I24" i="7"/>
  <c r="I22" i="7" s="1"/>
  <c r="I75" i="16"/>
  <c r="E75" i="16"/>
  <c r="C201" i="17" s="1"/>
  <c r="E65" i="16"/>
  <c r="I35" i="16"/>
  <c r="D91" i="17" s="1"/>
  <c r="E35" i="16"/>
  <c r="C91" i="17" s="1"/>
  <c r="I33" i="16"/>
  <c r="D81" i="17" s="1"/>
  <c r="E191" i="17"/>
  <c r="E129" i="17"/>
  <c r="D101" i="17"/>
  <c r="E101" i="17" s="1"/>
  <c r="E52" i="17"/>
  <c r="D101" i="20"/>
  <c r="E101" i="20" s="1"/>
  <c r="E28" i="20"/>
  <c r="D101" i="22"/>
  <c r="E101" i="22" s="1"/>
  <c r="C65" i="22"/>
  <c r="F214" i="22"/>
  <c r="E214" i="22"/>
  <c r="E99" i="17"/>
  <c r="F99" i="17"/>
  <c r="F99" i="20"/>
  <c r="E99" i="20"/>
  <c r="E18" i="22"/>
  <c r="F18" i="22"/>
  <c r="C44" i="17"/>
  <c r="C222" i="20"/>
  <c r="F65" i="17" l="1"/>
  <c r="F39" i="20"/>
  <c r="K83" i="16"/>
  <c r="F94" i="16" s="1"/>
  <c r="E64" i="19"/>
  <c r="F129" i="22"/>
  <c r="D131" i="22"/>
  <c r="F118" i="22"/>
  <c r="D94" i="19"/>
  <c r="I44" i="21"/>
  <c r="L43" i="21"/>
  <c r="L83" i="21" s="1"/>
  <c r="E32" i="21"/>
  <c r="E62" i="22"/>
  <c r="F62" i="22"/>
  <c r="E193" i="17"/>
  <c r="C39" i="22"/>
  <c r="E37" i="22"/>
  <c r="F37" i="22"/>
  <c r="E158" i="22"/>
  <c r="F158" i="22"/>
  <c r="F161" i="22"/>
  <c r="E161" i="22"/>
  <c r="C163" i="22"/>
  <c r="K83" i="21"/>
  <c r="F94" i="21" s="1"/>
  <c r="I94" i="21" s="1"/>
  <c r="F106" i="22"/>
  <c r="C99" i="22"/>
  <c r="C108" i="22"/>
  <c r="F108" i="22" s="1"/>
  <c r="E106" i="22"/>
  <c r="I32" i="16"/>
  <c r="F99" i="22"/>
  <c r="E99" i="22"/>
  <c r="E39" i="20"/>
  <c r="F49" i="20"/>
  <c r="E49" i="20"/>
  <c r="F220" i="22"/>
  <c r="E220" i="22"/>
  <c r="C222" i="22"/>
  <c r="D171" i="22"/>
  <c r="E167" i="22"/>
  <c r="F167" i="22"/>
  <c r="E163" i="20"/>
  <c r="F163" i="20"/>
  <c r="F163" i="17"/>
  <c r="I64" i="16"/>
  <c r="C77" i="22"/>
  <c r="E75" i="22"/>
  <c r="F75" i="22"/>
  <c r="E129" i="20"/>
  <c r="D131" i="20"/>
  <c r="E131" i="20" s="1"/>
  <c r="J83" i="21"/>
  <c r="I43" i="21"/>
  <c r="G94" i="19"/>
  <c r="J94" i="19" s="1"/>
  <c r="I83" i="19"/>
  <c r="E43" i="19"/>
  <c r="E83" i="19"/>
  <c r="C94" i="19"/>
  <c r="B94" i="19" s="1"/>
  <c r="E193" i="20"/>
  <c r="F52" i="22"/>
  <c r="E52" i="22"/>
  <c r="E54" i="22"/>
  <c r="H83" i="21"/>
  <c r="D94" i="21" s="1"/>
  <c r="B94" i="21" s="1"/>
  <c r="E12" i="21"/>
  <c r="F131" i="20"/>
  <c r="E49" i="17"/>
  <c r="C44" i="22"/>
  <c r="F42" i="22"/>
  <c r="E42" i="22"/>
  <c r="I94" i="19"/>
  <c r="E94" i="19"/>
  <c r="E196" i="22"/>
  <c r="C198" i="22"/>
  <c r="F196" i="22"/>
  <c r="I92" i="28"/>
  <c r="F147" i="22"/>
  <c r="E147" i="22"/>
  <c r="E131" i="17"/>
  <c r="F131" i="17"/>
  <c r="E12" i="16"/>
  <c r="F83" i="16"/>
  <c r="E83" i="16" s="1"/>
  <c r="I12" i="16"/>
  <c r="E23" i="17"/>
  <c r="F23" i="17"/>
  <c r="E139" i="17"/>
  <c r="F139" i="17"/>
  <c r="E147" i="17"/>
  <c r="D158" i="17"/>
  <c r="F147" i="17"/>
  <c r="I103" i="13"/>
  <c r="F139" i="20"/>
  <c r="E139" i="20"/>
  <c r="E144" i="20"/>
  <c r="F144" i="20"/>
  <c r="E171" i="20"/>
  <c r="F171" i="20"/>
  <c r="E167" i="17"/>
  <c r="F167" i="17"/>
  <c r="D171" i="17"/>
  <c r="F53" i="7"/>
  <c r="E54" i="7"/>
  <c r="J95" i="13"/>
  <c r="G103" i="13" s="1"/>
  <c r="J103" i="13" s="1"/>
  <c r="E118" i="17"/>
  <c r="F18" i="17"/>
  <c r="F198" i="17"/>
  <c r="F65" i="22"/>
  <c r="E65" i="22"/>
  <c r="E81" i="17"/>
  <c r="F81" i="17"/>
  <c r="F91" i="17"/>
  <c r="E91" i="17"/>
  <c r="D93" i="17"/>
  <c r="E201" i="17"/>
  <c r="F201" i="17"/>
  <c r="E57" i="17"/>
  <c r="D62" i="17"/>
  <c r="E62" i="17" s="1"/>
  <c r="I44" i="16"/>
  <c r="J43" i="16"/>
  <c r="I43" i="16" s="1"/>
  <c r="E62" i="20"/>
  <c r="F62" i="20"/>
  <c r="F63" i="17"/>
  <c r="E63" i="17"/>
  <c r="E39" i="17"/>
  <c r="F39" i="17"/>
  <c r="I94" i="16"/>
  <c r="E142" i="17"/>
  <c r="D144" i="17"/>
  <c r="E144" i="17" s="1"/>
  <c r="E158" i="20"/>
  <c r="F158" i="20"/>
  <c r="E188" i="17"/>
  <c r="F188" i="17"/>
  <c r="E222" i="17"/>
  <c r="F222" i="17"/>
  <c r="E54" i="13"/>
  <c r="F53" i="13"/>
  <c r="J51" i="7"/>
  <c r="I52" i="7"/>
  <c r="D94" i="16"/>
  <c r="B94" i="16" s="1"/>
  <c r="F28" i="17"/>
  <c r="F49" i="17"/>
  <c r="F62" i="17"/>
  <c r="F144" i="17"/>
  <c r="E163" i="17"/>
  <c r="F91" i="22"/>
  <c r="F44" i="17"/>
  <c r="E44" i="17"/>
  <c r="E222" i="20"/>
  <c r="F222" i="20"/>
  <c r="F131" i="22" l="1"/>
  <c r="E131" i="22"/>
  <c r="F222" i="22"/>
  <c r="E222" i="22"/>
  <c r="F198" i="22"/>
  <c r="E198" i="22"/>
  <c r="E83" i="21"/>
  <c r="G94" i="21"/>
  <c r="I83" i="21"/>
  <c r="E39" i="22"/>
  <c r="F39" i="22"/>
  <c r="F77" i="22"/>
  <c r="E77" i="22"/>
  <c r="F163" i="22"/>
  <c r="E163" i="22"/>
  <c r="H94" i="19"/>
  <c r="E44" i="22"/>
  <c r="F44" i="22"/>
  <c r="E171" i="22"/>
  <c r="F171" i="22"/>
  <c r="E53" i="13"/>
  <c r="F52" i="13"/>
  <c r="F52" i="7"/>
  <c r="E53" i="7"/>
  <c r="E171" i="17"/>
  <c r="F171" i="17"/>
  <c r="E158" i="17"/>
  <c r="F158" i="17"/>
  <c r="E103" i="13"/>
  <c r="H103" i="13" s="1"/>
  <c r="J83" i="16"/>
  <c r="J50" i="7"/>
  <c r="J49" i="7" s="1"/>
  <c r="J95" i="7" s="1"/>
  <c r="G103" i="7" s="1"/>
  <c r="I51" i="7"/>
  <c r="I50" i="7" s="1"/>
  <c r="I49" i="7" s="1"/>
  <c r="I95" i="7" s="1"/>
  <c r="E93" i="17"/>
  <c r="F93" i="17"/>
  <c r="E94" i="21" l="1"/>
  <c r="H94" i="21" s="1"/>
  <c r="J94" i="21"/>
  <c r="J92" i="28"/>
  <c r="H92" i="28"/>
  <c r="I83" i="16"/>
  <c r="G94" i="16"/>
  <c r="E52" i="13"/>
  <c r="F51" i="13"/>
  <c r="J103" i="7"/>
  <c r="E103" i="7"/>
  <c r="H103" i="7" s="1"/>
  <c r="F51" i="7"/>
  <c r="E52" i="7"/>
  <c r="E51" i="13" l="1"/>
  <c r="E50" i="13" s="1"/>
  <c r="E49" i="13" s="1"/>
  <c r="E95" i="13" s="1"/>
  <c r="F50" i="13"/>
  <c r="F49" i="13" s="1"/>
  <c r="F95" i="13" s="1"/>
  <c r="E51" i="7"/>
  <c r="E50" i="7" s="1"/>
  <c r="E49" i="7" s="1"/>
  <c r="E95" i="7" s="1"/>
  <c r="F50" i="7"/>
  <c r="F49" i="7" s="1"/>
  <c r="F95" i="7" s="1"/>
  <c r="J94" i="16"/>
  <c r="E94" i="16"/>
  <c r="H94" i="16" s="1"/>
</calcChain>
</file>

<file path=xl/comments1.xml><?xml version="1.0" encoding="utf-8"?>
<comments xmlns="http://schemas.openxmlformats.org/spreadsheetml/2006/main">
  <authors>
    <author>Автор</author>
  </authors>
  <commentList>
    <comment ref="J24" authorId="0" shapeId="0">
      <text>
        <r>
          <rPr>
            <b/>
            <sz val="9"/>
            <color indexed="81"/>
            <rFont val="Tahoma"/>
            <family val="2"/>
            <charset val="204"/>
          </rPr>
          <t>Автор:</t>
        </r>
        <r>
          <rPr>
            <sz val="9"/>
            <color indexed="81"/>
            <rFont val="Tahoma"/>
            <family val="2"/>
            <charset val="204"/>
          </rPr>
          <t xml:space="preserve">
ДБ - 798 630,60 (кошти Соціотерапія)
ДБ - 283 282,70 (кошти КМКЛ 5)
</t>
        </r>
      </text>
    </comment>
    <comment ref="J26" authorId="0" shapeId="0">
      <text>
        <r>
          <rPr>
            <b/>
            <sz val="9"/>
            <color indexed="81"/>
            <rFont val="Tahoma"/>
            <family val="2"/>
            <charset val="204"/>
          </rPr>
          <t>muko</t>
        </r>
      </text>
    </comment>
    <comment ref="L29" authorId="0" shapeId="0">
      <text>
        <r>
          <rPr>
            <b/>
            <sz val="9"/>
            <color indexed="81"/>
            <rFont val="Tahoma"/>
            <family val="2"/>
            <charset val="204"/>
          </rPr>
          <t>adm
НГО Точка опори</t>
        </r>
      </text>
    </comment>
    <comment ref="J31" authorId="0" shapeId="0">
      <text>
        <r>
          <rPr>
            <b/>
            <sz val="9"/>
            <color indexed="81"/>
            <rFont val="Tahoma"/>
            <family val="2"/>
            <charset val="204"/>
          </rPr>
          <t>Автор:</t>
        </r>
        <r>
          <rPr>
            <sz val="9"/>
            <color indexed="81"/>
            <rFont val="Tahoma"/>
            <family val="2"/>
            <charset val="204"/>
          </rPr>
          <t xml:space="preserve">
Центр крові
</t>
        </r>
      </text>
    </comment>
    <comment ref="L31" authorId="0" shapeId="0">
      <text>
        <r>
          <rPr>
            <b/>
            <sz val="9"/>
            <color indexed="81"/>
            <rFont val="Tahoma"/>
            <family val="2"/>
            <charset val="204"/>
          </rPr>
          <t>Автор:</t>
        </r>
        <r>
          <rPr>
            <sz val="9"/>
            <color indexed="81"/>
            <rFont val="Tahoma"/>
            <family val="2"/>
            <charset val="204"/>
          </rPr>
          <t xml:space="preserve">
4 016 055,28 - Hels Liks
1 486 980,00- AHF
396667,46 - Центр крові (Здоров'я киян)
1 144 931,51- ГФ
401 576,09- благодійна допомога</t>
        </r>
      </text>
    </comment>
    <comment ref="L39" authorId="0" shapeId="0">
      <text>
        <r>
          <rPr>
            <b/>
            <sz val="9"/>
            <color indexed="81"/>
            <rFont val="Tahoma"/>
            <family val="2"/>
            <charset val="204"/>
          </rPr>
          <t>Автор:</t>
        </r>
        <r>
          <rPr>
            <sz val="9"/>
            <color indexed="81"/>
            <rFont val="Tahoma"/>
            <family val="2"/>
            <charset val="204"/>
          </rPr>
          <t xml:space="preserve">
Hels Links</t>
        </r>
      </text>
    </comment>
    <comment ref="L40" authorId="0" shapeId="0">
      <text>
        <r>
          <rPr>
            <b/>
            <sz val="9"/>
            <color indexed="81"/>
            <rFont val="Tahoma"/>
            <family val="2"/>
            <charset val="204"/>
          </rPr>
          <t>Автор:</t>
        </r>
        <r>
          <rPr>
            <sz val="9"/>
            <color indexed="81"/>
            <rFont val="Tahoma"/>
            <family val="2"/>
            <charset val="204"/>
          </rPr>
          <t xml:space="preserve">
Hels Links</t>
        </r>
      </text>
    </comment>
    <comment ref="L46" authorId="0" shapeId="0">
      <text>
        <r>
          <rPr>
            <b/>
            <sz val="9"/>
            <color indexed="81"/>
            <rFont val="Tahoma"/>
            <family val="2"/>
            <charset val="204"/>
          </rPr>
          <t>Автор:</t>
        </r>
        <r>
          <rPr>
            <sz val="9"/>
            <color indexed="81"/>
            <rFont val="Tahoma"/>
            <family val="2"/>
            <charset val="204"/>
          </rPr>
          <t xml:space="preserve">
Кошти ГФ/НГО
</t>
        </r>
      </text>
    </comment>
  </commentList>
</comments>
</file>

<file path=xl/comments2.xml><?xml version="1.0" encoding="utf-8"?>
<comments xmlns="http://schemas.openxmlformats.org/spreadsheetml/2006/main">
  <authors>
    <author>Автор</author>
  </authors>
  <commentList>
    <comment ref="G43" authorId="0" shapeId="0">
      <text>
        <r>
          <rPr>
            <b/>
            <sz val="9"/>
            <color indexed="81"/>
            <rFont val="Tahoma"/>
            <family val="2"/>
            <charset val="204"/>
          </rPr>
          <t>Автор:</t>
        </r>
        <r>
          <rPr>
            <sz val="9"/>
            <color indexed="81"/>
            <rFont val="Tahoma"/>
            <family val="2"/>
            <charset val="204"/>
          </rPr>
          <t xml:space="preserve">
Серед виявлених по коду 101( особи, які мали контакти з ВІЛ-інфікованими , під медичне спостереження стали всі у кого був наявний ВЛ-інфікований партнер</t>
        </r>
      </text>
    </comment>
    <comment ref="D47"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<sst xmlns="http://schemas.openxmlformats.org/spreadsheetml/2006/main" count="4817" uniqueCount="1068">
  <si>
    <t>3.1.2</t>
  </si>
  <si>
    <t>3.1.1</t>
  </si>
  <si>
    <t>3.1.3</t>
  </si>
  <si>
    <t>3.1.4</t>
  </si>
  <si>
    <t>3.1.5</t>
  </si>
  <si>
    <t>впровадження ЗПТ в неспеціалізованих закладах охорони здоров’я (закладах первинної медико-санітарної допомоги, клініко-діагностичних центрах, тощо)</t>
  </si>
  <si>
    <t>Забезпечити реалізацію заходів, спрямованих на досягнення елімінації передачі ВІЛ від матері до дитини шляхом:</t>
  </si>
  <si>
    <t>РАЗОМ ПО ПРОГРАМІ, тис. грн.</t>
  </si>
  <si>
    <t>5. Аналіз виконання за видатками в цілому за програмою:</t>
  </si>
  <si>
    <t>тис. грн.</t>
  </si>
  <si>
    <t>Бюджетні асигнування з урахуванням змін</t>
  </si>
  <si>
    <t>Проведені видатки</t>
  </si>
  <si>
    <t>Відхилення</t>
  </si>
  <si>
    <t>усього</t>
  </si>
  <si>
    <t>загальний фонд</t>
  </si>
  <si>
    <t>спеціальний фонд</t>
  </si>
  <si>
    <t xml:space="preserve"> </t>
  </si>
  <si>
    <t>1.</t>
  </si>
  <si>
    <t>Департамент охорони здоров'я виконавчого органу Київської міської ради (Київської міської державної адміністрації)</t>
  </si>
  <si>
    <t>(найменування головного розпорядника коштів програми)</t>
  </si>
  <si>
    <t>Департамент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</si>
  <si>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</si>
  <si>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програми, дата і номер рішення Київської міської ради про її затвердження)</t>
  </si>
  <si>
    <t>4.</t>
  </si>
  <si>
    <t>Напрями діяльності та заходи міської цільової програми:</t>
  </si>
  <si>
    <t xml:space="preserve">Міська цільова програма протидії епідемії ВІЛ-інфекції на 2017−2021 роки, затверджена рішенням Київської міської ради від 08 грудня 2016 року № 538/1542
</t>
  </si>
  <si>
    <t>№ з/п </t>
  </si>
  <si>
    <t>кошти інших джерел </t>
  </si>
  <si>
    <t>1</t>
  </si>
  <si>
    <t>7</t>
  </si>
  <si>
    <t>9</t>
  </si>
  <si>
    <t>11</t>
  </si>
  <si>
    <t>Неурядові організації (за згодою) (далі - НУО)</t>
  </si>
  <si>
    <t>2017 - 2021</t>
  </si>
  <si>
    <t>НУО</t>
  </si>
  <si>
    <t xml:space="preserve">Запровадити у закладах охорони здоров’я, які надають (у т.ч. амбулаторну) медичну допомогу населенню, ПТВ з використанням швидких тестів:
- для осіб, які мають клінічні ознаки ВІЛ/СНІД;
- для осіб, у яких наявні поведінкові фактори ризику, та їхніх статевих партнерів;
- для статевих партнерів людей, які живуть з ВІЛ-інфекцією
</t>
  </si>
  <si>
    <t xml:space="preserve">Департамент охорони здоров’я, Управління охорони здоров’я районних в місті Києві державних адміністрацій, НУО </t>
  </si>
  <si>
    <t>Захід </t>
  </si>
  <si>
    <t>Відповідальний виконавець </t>
  </si>
  <si>
    <t>Термін виконання </t>
  </si>
  <si>
    <t>Фактичні обсяги фінансування, тис. грн. </t>
  </si>
  <si>
    <t>Усього </t>
  </si>
  <si>
    <t>у тому числі: </t>
  </si>
  <si>
    <t>бюджет м. Києва </t>
  </si>
  <si>
    <t>державний бюджет </t>
  </si>
  <si>
    <t>Планові обсяги фінансування, тис. грн. </t>
  </si>
  <si>
    <t>1.1.</t>
  </si>
  <si>
    <t>чоловіків, які мають сексуальні стосунки із чоловіками (далі - ЧСЧ)</t>
  </si>
  <si>
    <t>Запобігання поширення ВІЛ серед ключових груп населення</t>
  </si>
  <si>
    <t xml:space="preserve">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t>
  </si>
  <si>
    <t>людей, які вживають ін'єкційні наркотики (далі - ЛВІН)</t>
  </si>
  <si>
    <t xml:space="preserve">НУО </t>
  </si>
  <si>
    <t>робітників комерційного сексу (далі - РКС)</t>
  </si>
  <si>
    <t>Забезпечити створення та розповсюдження інформаційних матеріалів соціальної реклами), спрямованої на запобігання поширення ВІЛ серед ГПР</t>
  </si>
  <si>
    <t>Впроваджувати нові моделі профілактичної роботи з метою виходу на важкодоступні ГПР щодо інфікування ВІЛ</t>
  </si>
  <si>
    <t>Забезпечити функціонування мобільних амбулаторій для посилення ефективності профілактичної роботи громадських організацій</t>
  </si>
  <si>
    <t>Здійснити пілотування та впровадження преконтактної профілактики (РгЕР) антиретровірусними препаратами серед ЧСЧ:</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</si>
  <si>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</si>
  <si>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Забезпечити стійкість програми замісної підтримувальної терапії (ЗПТ) для людей, які вживають ін'єкційні наркотики (ЛВІН) зокрема,</t>
  </si>
  <si>
    <t xml:space="preserve">Департамент охорони здоров’я </t>
  </si>
  <si>
    <t xml:space="preserve">Департамент охорони здоров’я, НУО </t>
  </si>
  <si>
    <t>шляхом розширення мережі кабінетів ЗПТ та забезпечення їх функціонування за принципом інтегрованої медичної допомоги</t>
  </si>
  <si>
    <t>Департамент охорони здоров’я</t>
  </si>
  <si>
    <t>1.2</t>
  </si>
  <si>
    <t>1.7</t>
  </si>
  <si>
    <t>1.3</t>
  </si>
  <si>
    <t>1.4</t>
  </si>
  <si>
    <t>1.5</t>
  </si>
  <si>
    <t>1.6</t>
  </si>
  <si>
    <t>1.8</t>
  </si>
  <si>
    <t>Забезпечити серомоніторинг ефективності ЗПТ шляхом тестування швидкими тестами на ВІЛ-інфекцію ВІЛ-негативних пацієнтів</t>
  </si>
  <si>
    <t>1.9</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</si>
  <si>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</si>
  <si>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</si>
  <si>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</si>
  <si>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1.10</t>
  </si>
  <si>
    <t>Розвиток людських ресурсів: Забезпечити навчання соціальних працівників та волонтерів НУО, психологів, інших співробітників залучених до надання комплексних профілактичних послуг ГПР щодо інфікування ВІЛ</t>
  </si>
  <si>
    <t>Охоплення населення послугами з тестування на ВІЛ (ПТВ), насамперед представників ГПР щодо інфікування ВІЛ</t>
  </si>
  <si>
    <t>2</t>
  </si>
  <si>
    <t>Забезпечити доступне та ефективне тестування населення на ВІЛ із застосуванням швидких тестів та тест-систем ІФА</t>
  </si>
  <si>
    <t>2.1</t>
  </si>
  <si>
    <t>2.2</t>
  </si>
  <si>
    <t>Забезпечити у ЗОЗ реєстрацію та лабораторне підтвердження випадку ВІЛ-інфекції за місцем його виявлення (за принципом «тестуй та реєструй»)</t>
  </si>
  <si>
    <t>2.3</t>
  </si>
  <si>
    <t>Запровадити та забезпечити в усіх закладах охорони здоров’я первинної та вторинної ланки медичної допомоги проведення міського дня тестування  на ВІЛ-інфекцію (щомісяця)</t>
  </si>
  <si>
    <t>2.4</t>
  </si>
  <si>
    <t xml:space="preserve">Забезпечити створення 4-х  кабінетів інтегрованої допомоги ГПР </t>
  </si>
  <si>
    <t>2.5</t>
  </si>
  <si>
    <t>Департамент охорони здоров’я, НУО</t>
  </si>
  <si>
    <t>Забезпечити високий рівень результативності профілактичної роботи громадських організацій в частині виявлення ВІЛ серед осіб, що належать до ГПР :</t>
  </si>
  <si>
    <t>2.6</t>
  </si>
  <si>
    <t xml:space="preserve">Управління охорони здоров’я районних в місті Києві державних адміністрацій, НУО </t>
  </si>
  <si>
    <t>тестування на ВІЛ-інфекцію із застосуванням двох швидких тестів та оптимізації аутріч-маршрутів, маршрутів мобільних амбулаторій</t>
  </si>
  <si>
    <t>участі медичних працівників у ПТВ на базі громадських центрів та мобільних амбулаторій неурядових організацій</t>
  </si>
  <si>
    <t>залучення до тестування на ВІЛ, зокрема залучення ЧСЧ, через мережу Інтернет</t>
  </si>
  <si>
    <t>Забезпечити проведення на регулярній основі програм зовнішньої оцінки якості досліджень з використанням швидких тестів</t>
  </si>
  <si>
    <t>2.7</t>
  </si>
  <si>
    <t>Забезпечити навчання лікарів та медичних сестер навичкам послуг з тестування на ВІЛ із застосуванням швидких тестів та критеріям визначення осіб, яких необхідно залучати до тестування у першу чергу, для застосування на базі:</t>
  </si>
  <si>
    <t>2.8</t>
  </si>
  <si>
    <t>Департамент охорони здоров’я, Управління охорони здоров’я районних в місті Києві державних адміністрацій</t>
  </si>
  <si>
    <t>закладів охорони здоров’я ПМСД</t>
  </si>
  <si>
    <t>закладів охорони здоров’я вторинного рівня</t>
  </si>
  <si>
    <t xml:space="preserve">Залучення до системи медичного нагляду людей, які живуть з ВІЛ  </t>
  </si>
  <si>
    <t>3</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</si>
  <si>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 шляхом:</t>
  </si>
  <si>
    <t>3.1</t>
  </si>
  <si>
    <t>проведення підтверджуючих досліджень у разі отримання позитивного результату тестування на ВІЛ</t>
  </si>
  <si>
    <t>взяття на диспансерний облік безпосередньо під час перебування на стаціонарному лікуванні у ЗОЗ м. Києва</t>
  </si>
  <si>
    <t xml:space="preserve">Департамент охорони здоров’я, Управління охорони здоров’я районних в місті Києві державних </t>
  </si>
  <si>
    <t>налагодження медичного нагляду з приводу ВІЛ-інфекції лікарем-інфекціоністом за місцем проживання (у т.ч. на базі КІЗ)</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</si>
  <si>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</si>
  <si>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при зверненні для взяття під медичний нагляд</t>
  </si>
  <si>
    <t>Забезпечити діагностику опортуністичних інфекцій у ЛЖВ, які взяті під медичний нагляд у зв’язку із ВІЛ-інфекцією</t>
  </si>
  <si>
    <t>3.2</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</si>
  <si>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</si>
  <si>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3.3</t>
  </si>
  <si>
    <t>загально діагностичні дослідження та визначення маркерів гепатитів та сифілісу, з них:</t>
  </si>
  <si>
    <t>діагностикою вірусних гепатитів В і C</t>
  </si>
  <si>
    <t xml:space="preserve">діагностикою сифілісу </t>
  </si>
  <si>
    <t>проведення гематологічних і біохімічних досліджень</t>
  </si>
  <si>
    <t>визначення CD4</t>
  </si>
  <si>
    <t>вакуумні систем для забору крові (вакутайнерів)</t>
  </si>
  <si>
    <t>3.4</t>
  </si>
  <si>
    <t>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</si>
  <si>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</si>
  <si>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</si>
  <si>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</si>
  <si>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</si>
  <si>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</si>
  <si>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Забезпечити навчання лікарів-інфекціоністів закладів охорони здоров’я вторинного рівня надання медичної допомоги з питань діагностики та лікування ВІЛ-інфекції/СНІДу</t>
  </si>
  <si>
    <t>3.5</t>
  </si>
  <si>
    <t>Охоплення людей, які живуть з ВІЛ, антиретровірусною терапією</t>
  </si>
  <si>
    <t>4</t>
  </si>
  <si>
    <t>Прискорити розширення доступу ЛЖВ до антиретровірусного лікування шляхом:</t>
  </si>
  <si>
    <t>продовження та залучення до АРТ пацієнтів, які перебувають під медичним наглядом в Київському міському центрі профілактики та боротьби зі СНІДом, до лікування  та забезпечити доступ до АРВП другого та третього ряду за наявності клініко-лабораторних показань</t>
  </si>
  <si>
    <t>4.1</t>
  </si>
  <si>
    <t>призначення антиретровірусних препаратів (базових схем І ряду) лікарями-інфекціоністами за місцем проживання пацієнта</t>
  </si>
  <si>
    <t>децентралізації призначення та видачі антиретровірусних препаратів лікарями-інфекціоністами за місцем проживання пацієнта</t>
  </si>
  <si>
    <t xml:space="preserve">наближення послуг диспансерного спостереження ЛЖВ до місця проживання (координація лікування ВІЛ/СНІД та методичний супровід децентралізації АРТ лікарем-інфекціоністом Київського міського центру профілактики та боротьби зі СНІДом, який закріплений за окремим районом міста) </t>
  </si>
  <si>
    <t>Оптимізувати процес видачі антиретровірусних препаратів (далі - АРВП) шляхом:</t>
  </si>
  <si>
    <t>4.2</t>
  </si>
  <si>
    <t>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</si>
  <si>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Забезпечити навчання лікарів-інфекціоністів та лікарів інших спеціальностей, які залучені до надання медичної допомоги ЛЖВ, з питань:</t>
  </si>
  <si>
    <t>4.3</t>
  </si>
  <si>
    <t xml:space="preserve">антиретровірусної терапії </t>
  </si>
  <si>
    <t>профілактики, діагностики та лікування опортуністичних інфекцій у ЛЖВ</t>
  </si>
  <si>
    <t>діагностики та лікування ко-інфекцій у ЛЖВ (ВІЛ, вірусного гепатиту В і С, туберкульозу)</t>
  </si>
  <si>
    <t xml:space="preserve">Забезпечити стажування на базі Київського міського центру профілактики та  боротьби зі СНІДом лікарів-інфекціоністів, які залучаються до надання медичної допомоги людям, які живуть з ВІЛ </t>
  </si>
  <si>
    <t>4.4</t>
  </si>
  <si>
    <t>Забезпечити постійне підвищення кваліфікації з питань ВІЛ/СНІДу лікарів, які надають спеціалізовану допомогу ЛЖВ</t>
  </si>
  <si>
    <t>4.5</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</si>
  <si>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t>
  </si>
  <si>
    <t>4.6</t>
  </si>
  <si>
    <t xml:space="preserve">Київський  міський центр соціальних служб для дітей, сім’ї і молоді, НУО </t>
  </si>
  <si>
    <t>Досягнення високої ефективності лікування у людей, які живуть з ВІЛ та отримують антиретровірусну терапію</t>
  </si>
  <si>
    <t>5</t>
  </si>
  <si>
    <t>Забезпечити клініко-лабораторний моніторинг та оцінку ефективності АРТ (згідно клінічного протоколу)</t>
  </si>
  <si>
    <t>5.1</t>
  </si>
  <si>
    <t>Запровадити систему диференційованого підходу до соціального супроводу ЛЖВ, які готуються або отримують АРТ для досягнення високого рівня прихильності силами НУО та Київського міського центру соціальних служб для дітей, сім’ї і молоді</t>
  </si>
  <si>
    <t>5.2</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</si>
  <si>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</si>
  <si>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5.3</t>
  </si>
  <si>
    <t xml:space="preserve">Адміністрування та моніторинг виконання заходів Програми за стратегією Fast-Track </t>
  </si>
  <si>
    <t>6</t>
  </si>
  <si>
    <t xml:space="preserve">Створити та забезпечити діяльність групи з впровадження стратегії Fast-Track Cities у м. Києві </t>
  </si>
  <si>
    <t>6.1</t>
  </si>
  <si>
    <t>Виконавчий орган Київської міської ради (Київська міська державна адміністрація )</t>
  </si>
  <si>
    <t xml:space="preserve">Забезпечити розробку та затвердження регулюючих нормативних актів щодо:
децентралізації медичної допомоги людям, які живуть з ВІЛ
</t>
  </si>
  <si>
    <t>6.2</t>
  </si>
  <si>
    <t>затвердження регіональних та локальних протоколів надання медичної допомоги людям, які живуть з ВІЛ</t>
  </si>
  <si>
    <t>оптимізації маршруту пацієнта з ВІЛ</t>
  </si>
  <si>
    <t xml:space="preserve">моніторингу ефективності та оцінки якості медичних послуг людям, які живуть з ВІЛ у закладах охорони здоров’я </t>
  </si>
  <si>
    <t>створення у кожному адміністративному районі міста локальної команди з покращення якості надання послуг людям, які живуть з ВІЛ</t>
  </si>
  <si>
    <t>Департамент охорони здоров’я, Районні у місті Києві державні адміністрації</t>
  </si>
  <si>
    <t>Забезпечити координацію проектів донорської і технічної допомоги в рамках Програми (аналіз прогалин, визначення пріоритетів донорської допомоги, розрахунок потреби, оцінка ефективності пілотних проектів)</t>
  </si>
  <si>
    <t>6.3</t>
  </si>
  <si>
    <t xml:space="preserve">Київська міська координаційна рада
з питань протидії туберкульозу та ВІЛ-інфекції, група з впровадження стратегії Fast-Track Cities у  м. Києві
</t>
  </si>
  <si>
    <t>Забезпечити постійний моніторинг та експертну оцінку реалізації програми за стратегією Fast-Track Cities за участю міжнародних та національних експертів, у т.ч. шляхом підготовки:</t>
  </si>
  <si>
    <t>6.4</t>
  </si>
  <si>
    <t>Міський та районні плани моніторингу програми щодо досягнення цілей стратегії Fast-Track Cities у м. Києві</t>
  </si>
  <si>
    <t>Річні звіти  щодо досягнення цілей стратегії Fast-Track Cities у м. Києві</t>
  </si>
  <si>
    <t>Експертна оцінка досягнення цілей стратегії Fast-Track Cities у м. Києві</t>
  </si>
  <si>
    <t>Міжнародні та національні експерти, група з впровадження стратегії Fast-Track Cities у  м. Києві</t>
  </si>
  <si>
    <t>профілактика опортуністичних інфекцій у ЛЖВ, з них</t>
  </si>
  <si>
    <t>2.</t>
  </si>
  <si>
    <t>3.</t>
  </si>
  <si>
    <t>Інформація про виконання за перше півріччя 2017 року Міської цільової програми протидії епідемії  ВІЛ-інфекції на 2017-2021 роки</t>
  </si>
  <si>
    <t>Звіт</t>
  </si>
  <si>
    <t>Результативні показники</t>
  </si>
  <si>
    <t>Значення  показника</t>
  </si>
  <si>
    <t>Відхилення (зі знаком "+" або "-")</t>
  </si>
  <si>
    <t>Фактичне значення показника до планового (%)</t>
  </si>
  <si>
    <t>Причини невиконання показника</t>
  </si>
  <si>
    <t>планове</t>
  </si>
  <si>
    <t>фактичне</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</si>
  <si>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 людей, які вживають ін'єкційні наркотики (далі - ЛВІН);</t>
  </si>
  <si>
    <r>
      <t xml:space="preserve">Показник затрат, </t>
    </r>
    <r>
      <rPr>
        <sz val="12"/>
        <rFont val="Times New Roman"/>
        <family val="1"/>
        <charset val="204"/>
      </rPr>
      <t>тис. грн.</t>
    </r>
  </si>
  <si>
    <r>
      <t>Показник продукту:</t>
    </r>
    <r>
      <rPr>
        <sz val="12"/>
        <color indexed="8"/>
        <rFont val="Times New Roman"/>
        <family val="1"/>
        <charset val="204"/>
      </rPr>
      <t xml:space="preserve"> кількість ЛВІН,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</si>
  <si>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ЛВІН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</si>
  <si>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ЛВІН, які охоплені послугами з профілактики ВІЛ відносно базового показника – 50% від оціночної чисельності (%)</t>
    </r>
  </si>
  <si>
    <t>- чоловіків, які мають сексуальні стосунки із чоловіками (далі - ЧСЧ);</t>
  </si>
  <si>
    <r>
      <t>Показник продукту:</t>
    </r>
    <r>
      <rPr>
        <sz val="12"/>
        <color indexed="8"/>
        <rFont val="Times New Roman"/>
        <family val="1"/>
        <charset val="204"/>
      </rPr>
      <t xml:space="preserve"> кількість ЧСЧ,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</si>
  <si>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ЧСЧ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</si>
  <si>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ЧСЧ, які охоплені послугами з профілактики ВІЛ відносно базового показника – 58% від оціночної чисельності (%)</t>
    </r>
  </si>
  <si>
    <r>
      <t>Показник продукту:</t>
    </r>
    <r>
      <rPr>
        <sz val="12"/>
        <rFont val="Times New Roman"/>
        <family val="1"/>
        <charset val="204"/>
      </rPr>
      <t xml:space="preserve"> кількість РКС,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</si>
  <si>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РКС на рік,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</si>
  <si>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частки РКС, які охоплені послугами з профілактики ВІЛ відносно базового показника – 56% від оціночної чисельності (%)</t>
    </r>
  </si>
  <si>
    <r>
      <t xml:space="preserve">Показник продукту: </t>
    </r>
    <r>
      <rPr>
        <sz val="12"/>
        <rFont val="Times New Roman"/>
        <family val="1"/>
        <charset val="204"/>
      </rPr>
      <t>забезпечення функціонування мобільних амбулаторій, автомобіль</t>
    </r>
  </si>
  <si>
    <r>
      <t xml:space="preserve">Показник ефективності: </t>
    </r>
    <r>
      <rPr>
        <sz val="12"/>
        <rFont val="Times New Roman"/>
        <family val="1"/>
        <charset val="204"/>
      </rPr>
      <t>вартість забезпечення діяльності 1 мобільної амбулаторії на рік, тис. грн.</t>
    </r>
  </si>
  <si>
    <r>
      <t xml:space="preserve">Показник якості: </t>
    </r>
    <r>
      <rPr>
        <sz val="12"/>
        <rFont val="Times New Roman"/>
        <family val="1"/>
        <charset val="204"/>
      </rPr>
      <t>відсоток представників ГПР, які мають доступ до послуг мобільної амбулаторії</t>
    </r>
    <r>
      <rPr>
        <b/>
        <sz val="12"/>
        <rFont val="Times New Roman"/>
        <family val="1"/>
        <charset val="204"/>
      </rPr>
      <t xml:space="preserve"> </t>
    </r>
    <r>
      <rPr>
        <sz val="12"/>
        <rFont val="Times New Roman"/>
        <family val="1"/>
        <charset val="204"/>
      </rPr>
      <t>відносно базового 35% (%)</t>
    </r>
  </si>
  <si>
    <r>
      <t>Показник продукту:</t>
    </r>
    <r>
      <rPr>
        <sz val="12"/>
        <rFont val="Times New Roman"/>
        <family val="1"/>
        <charset val="204"/>
      </rPr>
      <t xml:space="preserve"> кількість лікарів закладів охорони здоров’я ПМСД, які впродовж року пройшли навчання з питань застосування у практиці навичок з ПТВ</t>
    </r>
  </si>
  <si>
    <r>
      <t>Показник якості:</t>
    </r>
    <r>
      <rPr>
        <i/>
        <sz val="12"/>
        <rFont val="Times New Roman"/>
        <family val="1"/>
        <charset val="204"/>
      </rPr>
      <t xml:space="preserve"> </t>
    </r>
    <r>
      <rPr>
        <sz val="12"/>
        <rFont val="Times New Roman"/>
        <family val="1"/>
        <charset val="204"/>
      </rPr>
      <t xml:space="preserve">динаміка відсотка лікарів, які пройшли навчання з консультування і тестування на ВІЛ, і надають таки послуги на робочому місці. Базовий рівень – менше 1%. </t>
    </r>
  </si>
  <si>
    <r>
      <t xml:space="preserve">Показник продукту: </t>
    </r>
    <r>
      <rPr>
        <sz val="12"/>
        <rFont val="Times New Roman"/>
        <family val="1"/>
        <charset val="204"/>
      </rPr>
      <t>кількість закладів охорони здоров’я вторинного рівня, лікарі яких мають навички з ПТВ</t>
    </r>
  </si>
  <si>
    <r>
      <t xml:space="preserve">Показник якості: </t>
    </r>
    <r>
      <rPr>
        <sz val="12"/>
        <rFont val="Times New Roman"/>
        <family val="1"/>
        <charset val="204"/>
      </rPr>
      <t>динаміка відсотка закладів охорони здоров’я вторинного рівня, лікарі яких мають навички з ПТВ</t>
    </r>
  </si>
  <si>
    <r>
      <t>Показник продукту:</t>
    </r>
    <r>
      <rPr>
        <sz val="12"/>
        <color indexed="8"/>
        <rFont val="Times New Roman"/>
        <family val="1"/>
        <charset val="204"/>
      </rPr>
      <t xml:space="preserve"> загальна чисельність людей з ВІЛ, які залучені до системи медичного спостереження</t>
    </r>
  </si>
  <si>
    <r>
      <t xml:space="preserve">Показник якості: </t>
    </r>
    <r>
      <rPr>
        <sz val="12"/>
        <color indexed="8"/>
        <rFont val="Times New Roman"/>
        <family val="1"/>
        <charset val="204"/>
      </rPr>
      <t xml:space="preserve">динаміка частки ЛЖВ від оціночної чисельності ЛЖВ, які знають свій ВІЛ-статус та залучені до системи медичного спостереження, відносно базового рівня - 47% </t>
    </r>
  </si>
  <si>
    <r>
      <t>Показники продукту:</t>
    </r>
    <r>
      <rPr>
        <sz val="12"/>
        <rFont val="Times New Roman"/>
        <family val="1"/>
        <charset val="204"/>
      </rPr>
      <t xml:space="preserve"> кількість ЛЖВ з числа ГПР, які звернулися за отриманням допомоги</t>
    </r>
  </si>
  <si>
    <r>
      <t xml:space="preserve">Показник ефективності: </t>
    </r>
    <r>
      <rPr>
        <sz val="12"/>
        <rFont val="Times New Roman"/>
        <family val="1"/>
        <charset val="204"/>
      </rPr>
      <t>вартість витрат на супровід ЛЖВ до закладу медичного здоров’я</t>
    </r>
    <r>
      <rPr>
        <b/>
        <sz val="12"/>
        <rFont val="Times New Roman"/>
        <family val="1"/>
        <charset val="204"/>
      </rPr>
      <t xml:space="preserve">  </t>
    </r>
  </si>
  <si>
    <r>
      <t xml:space="preserve">Показники якості: </t>
    </r>
    <r>
      <rPr>
        <sz val="12"/>
        <rFont val="Times New Roman"/>
        <family val="1"/>
        <charset val="204"/>
      </rPr>
      <t>динаміка</t>
    </r>
    <r>
      <rPr>
        <b/>
        <sz val="12"/>
        <rFont val="Times New Roman"/>
        <family val="1"/>
        <charset val="204"/>
      </rPr>
      <t xml:space="preserve"> </t>
    </r>
    <r>
      <rPr>
        <sz val="12"/>
        <rFont val="Times New Roman"/>
        <family val="1"/>
        <charset val="204"/>
      </rPr>
      <t>частки ЛЖВ з числа груп підвищеного ризику щодо інфікування ВІЛ, яких охоплено медичним спостереженням, з числа  осіб, які звернулися до закладу за направленням НУО. Базовий показник 60%.</t>
    </r>
  </si>
  <si>
    <r>
      <t xml:space="preserve">Показники продукту: </t>
    </r>
    <r>
      <rPr>
        <sz val="12"/>
        <rFont val="Times New Roman"/>
        <family val="1"/>
        <charset val="204"/>
      </rPr>
      <t>кількість ЛЖВ, яких було взято під медичний нагляд у день первинного звернення з приводу діагностованої ВІЛ-інфекції.</t>
    </r>
  </si>
  <si>
    <r>
      <t xml:space="preserve">Показники якості: </t>
    </r>
    <r>
      <rPr>
        <sz val="12"/>
        <rFont val="Times New Roman"/>
        <family val="1"/>
        <charset val="204"/>
      </rPr>
      <t>динаміка частки осіб, яких було взято під медичний нагляд у день первинного звернення з приводу діагностованої ВІЛ-інфекції. Базовий показник – 5%</t>
    </r>
  </si>
  <si>
    <r>
      <t xml:space="preserve">Показники продукту: </t>
    </r>
    <r>
      <rPr>
        <sz val="12"/>
        <rFont val="Times New Roman"/>
        <family val="1"/>
        <charset val="204"/>
      </rPr>
      <t>чисельність ЛЖВ, яким призначено АРТ, осіб</t>
    </r>
  </si>
  <si>
    <r>
      <t xml:space="preserve">Показник ефективності: </t>
    </r>
    <r>
      <rPr>
        <sz val="12"/>
        <rFont val="Times New Roman"/>
        <family val="1"/>
        <charset val="204"/>
      </rPr>
      <t>середня вартість річного курсу АРТ для одного ЛЖВ, тис. грн.</t>
    </r>
  </si>
  <si>
    <r>
      <t xml:space="preserve">Показник якості: </t>
    </r>
    <r>
      <rPr>
        <sz val="12"/>
        <rFont val="Times New Roman"/>
        <family val="1"/>
        <charset val="204"/>
      </rPr>
      <t>динаміка показника охоплення антиретровірусною терапією ЛЖВ, які знають свій ВІЛ-статус та охоплені медичним спостереженням, відносно базового показника 60,7%</t>
    </r>
  </si>
  <si>
    <r>
      <t xml:space="preserve">Показники продукту: </t>
    </r>
    <r>
      <rPr>
        <sz val="12"/>
        <rFont val="Times New Roman"/>
        <family val="1"/>
        <charset val="204"/>
      </rPr>
      <t>число ЛЖВ, які отримують АРТ за місцем проживання, осіб</t>
    </r>
  </si>
  <si>
    <r>
      <t>Показник якості:</t>
    </r>
    <r>
      <rPr>
        <sz val="12"/>
        <rFont val="Times New Roman"/>
        <family val="1"/>
        <charset val="204"/>
      </rPr>
      <t xml:space="preserve"> динаміка частки ЛЖВ, які отримують препарати АРТ за місцем проживання. Базовий рівень показника – 40%</t>
    </r>
  </si>
  <si>
    <r>
      <t xml:space="preserve">Показник продукту: </t>
    </r>
    <r>
      <rPr>
        <sz val="12"/>
        <rFont val="Times New Roman"/>
        <family val="1"/>
        <charset val="204"/>
      </rPr>
      <t>кількість лікарів-інфекціоністів, які до надання медичної допомоги людям, які живуть з ВІЛ та пройшли стажування, осіб</t>
    </r>
  </si>
  <si>
    <r>
      <t>Показник якості:</t>
    </r>
    <r>
      <rPr>
        <sz val="12"/>
        <rFont val="Times New Roman"/>
        <family val="1"/>
        <charset val="204"/>
      </rPr>
      <t xml:space="preserve"> досягнення і утримання рівня охоплення лікарів, які долучаються до надання медичної допомоги ЛЖВ,  стажуванням з питань діагностики та лікування ВІЛ/СНІД. Базовий рівень – 0%</t>
    </r>
  </si>
  <si>
    <r>
      <t>Показник якості:</t>
    </r>
    <r>
      <rPr>
        <sz val="12"/>
        <rFont val="Times New Roman"/>
        <family val="1"/>
        <charset val="204"/>
      </rPr>
      <t xml:space="preserve"> частка лікарів, які підвищили кваліфікацію з питань ВІЛ/СНІДу впродовж року</t>
    </r>
  </si>
  <si>
    <r>
      <t xml:space="preserve">Показник продукту: </t>
    </r>
    <r>
      <rPr>
        <sz val="12"/>
        <rFont val="Times New Roman"/>
        <family val="1"/>
        <charset val="204"/>
      </rPr>
      <t>кількість,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</si>
  <si>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однієї особи ЛЖВ, тис. грн.</t>
    </r>
  </si>
  <si>
    <r>
      <t>Показник якості:</t>
    </r>
    <r>
      <rPr>
        <sz val="12"/>
        <rFont val="Times New Roman"/>
        <family val="1"/>
        <charset val="204"/>
      </rPr>
      <t xml:space="preserve"> динаміка показника охоплення ЛЖВ, які перебувають під медичним спостереженням, соціальним супроводом відносно базового рівня – 44%</t>
    </r>
  </si>
  <si>
    <r>
      <t>Показник продукту:</t>
    </r>
    <r>
      <rPr>
        <sz val="12"/>
        <rFont val="Times New Roman"/>
        <family val="1"/>
        <charset val="204"/>
      </rPr>
      <t xml:space="preserve"> 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</si>
  <si>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Показник якості:</t>
    </r>
    <r>
      <rPr>
        <sz val="12"/>
        <rFont val="Times New Roman"/>
        <family val="1"/>
        <charset val="204"/>
      </rPr>
      <t xml:space="preserve"> динаміка частки ЛЖВ, які утримуються на лікуванні впродовж 12 місяців від початку лікування. Базовий рівень – 85%</t>
    </r>
  </si>
  <si>
    <r>
      <t xml:space="preserve">Показник продукту: </t>
    </r>
    <r>
      <rPr>
        <sz val="12"/>
        <rFont val="Times New Roman"/>
        <family val="1"/>
        <charset val="204"/>
      </rPr>
      <t>кількість розроблених нормативних актів, проектів рішень</t>
    </r>
    <r>
      <rPr>
        <b/>
        <sz val="12"/>
        <rFont val="Times New Roman"/>
        <family val="1"/>
        <charset val="204"/>
      </rPr>
      <t xml:space="preserve"> </t>
    </r>
  </si>
  <si>
    <r>
      <t xml:space="preserve">Показник ефективності: </t>
    </r>
    <r>
      <rPr>
        <sz val="12"/>
        <rFont val="Times New Roman"/>
        <family val="1"/>
        <charset val="204"/>
      </rPr>
      <t>відсоток прийнятих до виконання нормативних актів або рішень від розроблених</t>
    </r>
  </si>
  <si>
    <r>
      <t xml:space="preserve">Показник якості: </t>
    </r>
    <r>
      <rPr>
        <sz val="12"/>
        <rFont val="Times New Roman"/>
        <family val="1"/>
        <charset val="204"/>
      </rPr>
      <t>динаміка відсотка прийнятих до виконання нормативних актів або рішень порівняно з попереднім роком</t>
    </r>
  </si>
  <si>
    <t>Інформація про виконання програми за І півріччя 2017 року</t>
  </si>
  <si>
    <t>Показники продукту:</t>
  </si>
  <si>
    <t xml:space="preserve">кількість виявлених випадків ВІЛ-інфекції  </t>
  </si>
  <si>
    <t>кількість людей, які обстежені на ВІЛ-інфекцію</t>
  </si>
  <si>
    <t>профілактику туберкульозу</t>
  </si>
  <si>
    <t>профілактику пневмоцистної пневмонії</t>
  </si>
  <si>
    <t>профілактику криптококозу</t>
  </si>
  <si>
    <t>профілактику атипових мікобактеріозів</t>
  </si>
  <si>
    <t>в т.ч. за рахунок коштів місцевого бюджету, тис. грн.</t>
  </si>
  <si>
    <r>
      <t xml:space="preserve">Показник продукту:  </t>
    </r>
    <r>
      <rPr>
        <sz val="12"/>
        <rFont val="Times New Roman"/>
        <family val="1"/>
        <charset val="204"/>
      </rPr>
      <t>Кількість лікарів, які взяли участь у заходах з підвищення кваліфікації з питань ВІЛ/СНІДу, осіб</t>
    </r>
  </si>
  <si>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</si>
  <si>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</si>
  <si>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</si>
  <si>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видів рекламної продукції, яка була виготовлена та розміщена, розповсюджена</t>
    </r>
  </si>
  <si>
    <r>
      <t xml:space="preserve">Показник ефективності: </t>
    </r>
    <r>
      <rPr>
        <sz val="12"/>
        <color indexed="8"/>
        <rFont val="Times New Roman"/>
        <family val="1"/>
        <charset val="204"/>
      </rPr>
      <t>середня вартість на рік 1 виду рекламної продукції/інформаційних матеріалів, тис. грн.</t>
    </r>
  </si>
  <si>
    <r>
      <t xml:space="preserve">Показник якості: </t>
    </r>
    <r>
      <rPr>
        <sz val="12"/>
        <color indexed="8"/>
        <rFont val="Times New Roman"/>
        <family val="1"/>
        <charset val="204"/>
      </rPr>
      <t>відсоток охоплення</t>
    </r>
    <r>
      <rPr>
        <b/>
        <sz val="12"/>
        <color indexed="8"/>
        <rFont val="Times New Roman"/>
        <family val="1"/>
        <charset val="204"/>
      </rPr>
      <t xml:space="preserve"> </t>
    </r>
    <r>
      <rPr>
        <sz val="12"/>
        <color indexed="8"/>
        <rFont val="Times New Roman"/>
        <family val="1"/>
        <charset val="204"/>
      </rPr>
      <t>ГПР інформаційними матеріалами</t>
    </r>
    <r>
      <rPr>
        <b/>
        <sz val="12"/>
        <color indexed="8"/>
        <rFont val="Times New Roman"/>
        <family val="1"/>
        <charset val="204"/>
      </rPr>
      <t xml:space="preserve"> з </t>
    </r>
    <r>
      <rPr>
        <sz val="12"/>
        <color indexed="8"/>
        <rFont val="Times New Roman"/>
        <family val="1"/>
        <charset val="204"/>
      </rPr>
      <t>питань запобігання інфікування ВІЛ (%)</t>
    </r>
  </si>
  <si>
    <t>1.3.</t>
  </si>
  <si>
    <r>
      <t>Показник продукту:</t>
    </r>
    <r>
      <rPr>
        <sz val="12"/>
        <color indexed="8"/>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</si>
  <si>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Показник якості: </t>
    </r>
    <r>
      <rPr>
        <sz val="12"/>
        <color indexed="8"/>
        <rFont val="Times New Roman"/>
        <family val="1"/>
        <charset val="204"/>
      </rPr>
      <t>збільшення частки осіб з числа ГПР у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</si>
  <si>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1.5.</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</si>
  <si>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</si>
  <si>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ЧСЧ, які отримали преконтактну профілактику  (</t>
    </r>
    <r>
      <rPr>
        <i/>
        <sz val="12"/>
        <color indexed="8"/>
        <rFont val="Times New Roman"/>
        <family val="1"/>
        <charset val="204"/>
      </rPr>
      <t>в рамках пілоту</t>
    </r>
    <r>
      <rPr>
        <sz val="12"/>
        <color indexed="8"/>
        <rFont val="Times New Roman"/>
        <family val="1"/>
        <charset val="204"/>
      </rPr>
      <t>)</t>
    </r>
  </si>
  <si>
    <r>
      <t>Показник ефективності</t>
    </r>
    <r>
      <rPr>
        <sz val="12"/>
        <color indexed="8"/>
        <rFont val="Times New Roman"/>
        <family val="1"/>
        <charset val="204"/>
      </rPr>
      <t>: витрати на проведення 1 курсу преконтактної профілактики,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</si>
  <si>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ЧСЧ, які отримують  преконтактну профілактику  інфікування ВІЛ від оціночної чисельності ЧСЧ, порівняно з базовим рівнем – 0%</t>
    </r>
  </si>
  <si>
    <t>1.6.</t>
  </si>
  <si>
    <r>
      <t xml:space="preserve">Показник продукту: </t>
    </r>
    <r>
      <rPr>
        <sz val="12"/>
        <color indexed="8"/>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</si>
  <si>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color indexed="8"/>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</si>
  <si>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</si>
  <si>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t>1.7.</t>
  </si>
  <si>
    <t>Показник затрат, тис. грн.</t>
  </si>
  <si>
    <r>
      <t>Показник продукту:</t>
    </r>
    <r>
      <rPr>
        <sz val="12"/>
        <color indexed="8"/>
        <rFont val="Times New Roman"/>
        <family val="1"/>
        <charset val="204"/>
      </rPr>
      <t xml:space="preserve"> кількість ЛВІН, які отримують ЗПТ, всього</t>
    </r>
  </si>
  <si>
    <t>впровадження ЗПТ в не спеціалізованих закладах охорони здоров’я (закладах первинної медико-санітарної допомоги, клініко-діагностичних центрах, тощо)</t>
  </si>
  <si>
    <t xml:space="preserve">Забезпечити стійкість програми замісної підтримувальної терапії (ЗПТ) для людей, які вживають ін'єкційні наркотики (ЛВІН) </t>
  </si>
  <si>
    <r>
      <t>Показники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ЛВІН, які охоплені ЗПТ від оціночної чисельності ЛВІН, відносно базового показника 2016 року – 2,5%</t>
    </r>
  </si>
  <si>
    <r>
      <t xml:space="preserve">Показники продукту: </t>
    </r>
    <r>
      <rPr>
        <sz val="12"/>
        <color indexed="8"/>
        <rFont val="Times New Roman"/>
        <family val="1"/>
        <charset val="204"/>
      </rPr>
      <t>кількість ЛВІН, які отримують ЗПТ на базі спеціалізованих ЗОЗ</t>
    </r>
  </si>
  <si>
    <r>
      <t xml:space="preserve">Показник ефективності: </t>
    </r>
    <r>
      <rPr>
        <sz val="12"/>
        <color indexed="8"/>
        <rFont val="Times New Roman"/>
        <family val="1"/>
        <charset val="204"/>
      </rPr>
      <t>вартість 1 курсу ЗПТ на рік при отриманні препаратів у спеціалізованих закладах  охорони здоров’я, тис. грн.</t>
    </r>
  </si>
  <si>
    <r>
      <t xml:space="preserve">Показники продукту: </t>
    </r>
    <r>
      <rPr>
        <sz val="12"/>
        <color indexed="8"/>
        <rFont val="Times New Roman"/>
        <family val="1"/>
        <charset val="204"/>
      </rPr>
      <t xml:space="preserve">кількість ЛВІН, які отримують ЗПТ а базі неспеціалізованих ЗОЗ </t>
    </r>
  </si>
  <si>
    <r>
      <t xml:space="preserve">Показник ефективності: </t>
    </r>
    <r>
      <rPr>
        <sz val="12"/>
        <color indexed="8"/>
        <rFont val="Times New Roman"/>
        <family val="1"/>
        <charset val="204"/>
      </rPr>
      <t>вартість 1 курсу ЗПТ на рік при отриманні у неспеціалізованих закладах  охорони здоров’я , тис. грн.</t>
    </r>
  </si>
  <si>
    <t xml:space="preserve">впровадження ЗПТ в спеціалізованих закладах охорони здоров’я </t>
  </si>
  <si>
    <t xml:space="preserve">впровадження ЗПТ в аптечних закладах </t>
  </si>
  <si>
    <r>
      <t xml:space="preserve">Показники продукту: </t>
    </r>
    <r>
      <rPr>
        <sz val="12"/>
        <color indexed="8"/>
        <rFont val="Times New Roman"/>
        <family val="1"/>
        <charset val="204"/>
      </rPr>
      <t>кількість ЛВІН, які отримують ЗПТ</t>
    </r>
  </si>
  <si>
    <r>
      <t xml:space="preserve">Показник ефективності: </t>
    </r>
    <r>
      <rPr>
        <sz val="12"/>
        <color indexed="8"/>
        <rFont val="Times New Roman"/>
        <family val="1"/>
        <charset val="204"/>
      </rPr>
      <t>вартість 1 курсу ЗПТ на рік при отриманні препаратів у аптечних закладах (кошти бюджету м. Києва) , тис. грн.</t>
    </r>
  </si>
  <si>
    <r>
      <t xml:space="preserve">Показник затрат: </t>
    </r>
    <r>
      <rPr>
        <sz val="12"/>
        <color indexed="8"/>
        <rFont val="Times New Roman"/>
        <family val="1"/>
        <charset val="204"/>
      </rPr>
      <t>тис. грн..</t>
    </r>
  </si>
  <si>
    <r>
      <t xml:space="preserve">Показники продукту: </t>
    </r>
    <r>
      <rPr>
        <sz val="12"/>
        <color indexed="8"/>
        <rFont val="Times New Roman"/>
        <family val="1"/>
        <charset val="204"/>
      </rPr>
      <t xml:space="preserve">кількість осіб на ЗПТ, які охоплені тестування на ВІЛ-інфекцію </t>
    </r>
  </si>
  <si>
    <r>
      <t xml:space="preserve">Показник ефективності: </t>
    </r>
    <r>
      <rPr>
        <sz val="12"/>
        <color indexed="8"/>
        <rFont val="Times New Roman"/>
        <family val="1"/>
        <charset val="204"/>
      </rPr>
      <t>вартість 1 тестування на ВІЛ-інфекцію на рік, тис. грн.</t>
    </r>
  </si>
  <si>
    <r>
      <t>Показники якості:</t>
    </r>
    <r>
      <rPr>
        <sz val="12"/>
        <color indexed="8"/>
        <rFont val="Times New Roman"/>
        <family val="1"/>
        <charset val="204"/>
      </rPr>
      <t xml:space="preserve"> досягнення та утримання рівня 100% охоплення тестуванням на ВІЛ-інфекцію 1 раз на рік осіб на ЗПТ, відносно базового показника – 80% (2016 р.)</t>
    </r>
  </si>
  <si>
    <t>1.9.</t>
  </si>
  <si>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</si>
  <si>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ефективності: </t>
    </r>
    <r>
      <rPr>
        <sz val="12"/>
        <color indexed="8"/>
        <rFont val="Times New Roman"/>
        <family val="1"/>
        <charset val="204"/>
      </rPr>
      <t>вартість охоплення скринінгом на ВІЛ 1 вагітної жінки, тис. грн.</t>
    </r>
  </si>
  <si>
    <r>
      <t xml:space="preserve">Показники якості: </t>
    </r>
    <r>
      <rPr>
        <sz val="12"/>
        <color indexed="8"/>
        <rFont val="Times New Roman"/>
        <family val="1"/>
        <charset val="204"/>
      </rPr>
      <t>досягнення та</t>
    </r>
    <r>
      <rPr>
        <i/>
        <sz val="12"/>
        <color indexed="8"/>
        <rFont val="Times New Roman"/>
        <family val="1"/>
        <charset val="204"/>
      </rPr>
      <t xml:space="preserve"> </t>
    </r>
    <r>
      <rPr>
        <sz val="12"/>
        <color indexed="8"/>
        <rFont val="Times New Roman"/>
        <family val="1"/>
        <charset val="204"/>
      </rPr>
      <t>дотримання стандарту щодо 100% охоплення  вагітних</t>
    </r>
    <r>
      <rPr>
        <b/>
        <sz val="12"/>
        <color indexed="8"/>
        <rFont val="Times New Roman"/>
        <family val="1"/>
        <charset val="204"/>
      </rPr>
      <t xml:space="preserve"> </t>
    </r>
    <r>
      <rPr>
        <sz val="12"/>
        <color indexed="8"/>
        <rFont val="Times New Roman"/>
        <family val="1"/>
        <charset val="204"/>
      </rPr>
      <t>жінок обстеженням на ВІЛ-інфекцію.  Базовий  показник - 100% (2016 рік)</t>
    </r>
  </si>
  <si>
    <r>
      <t xml:space="preserve">Показник затрат, </t>
    </r>
    <r>
      <rPr>
        <sz val="12"/>
        <color indexed="8"/>
        <rFont val="Times New Roman"/>
        <family val="1"/>
        <charset val="204"/>
      </rPr>
      <t>тис. грн</t>
    </r>
  </si>
  <si>
    <r>
      <t>Показники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</si>
  <si>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t xml:space="preserve">Показник ефективності: </t>
    </r>
    <r>
      <rPr>
        <sz val="12"/>
        <color indexed="8"/>
        <rFont val="Times New Roman"/>
        <family val="1"/>
        <charset val="204"/>
      </rPr>
      <t>вартість вигодування 1 дитини, народженої від ВІЛ-інфікованої жінки на рік, тис. грн.</t>
    </r>
  </si>
  <si>
    <r>
      <t xml:space="preserve">Показники якості: </t>
    </r>
    <r>
      <rPr>
        <sz val="12"/>
        <color indexed="8"/>
        <rFont val="Times New Roman"/>
        <family val="1"/>
        <charset val="204"/>
      </rPr>
      <t xml:space="preserve">досягнення та утримання на рівні 100% рівень забезпечення </t>
    </r>
    <r>
      <rPr>
        <i/>
        <sz val="12"/>
        <color indexed="8"/>
        <rFont val="Times New Roman"/>
        <family val="1"/>
        <charset val="204"/>
      </rPr>
      <t xml:space="preserve"> </t>
    </r>
    <r>
      <rPr>
        <sz val="12"/>
        <color indexed="8"/>
        <rFont val="Times New Roman"/>
        <family val="1"/>
        <charset val="204"/>
      </rPr>
      <t>дітей першого року життя, народжених ВІЛ-інфікованими матерями адаптованими молочними сумішами. Базовий  показник  - 60%</t>
    </r>
  </si>
  <si>
    <r>
      <t xml:space="preserve">Показники продукту: </t>
    </r>
    <r>
      <rPr>
        <sz val="12"/>
        <color indexed="8"/>
        <rFont val="Times New Roman"/>
        <family val="1"/>
        <charset val="204"/>
      </rPr>
      <t>кількість ВІЛ-інфікованих жінок, які  забезпечені антиретровірусними препаратами для профілактики передачі ВІЛ-інфекції від матері до дитини</t>
    </r>
  </si>
  <si>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осіб, які пройшли навчання з надання комплексних профілактичних послуг ГПР у щодо інфікування ВІЛ</t>
    </r>
  </si>
  <si>
    <r>
      <t xml:space="preserve">Показник ефективності: </t>
    </r>
    <r>
      <rPr>
        <sz val="12"/>
        <color indexed="8"/>
        <rFont val="Times New Roman"/>
        <family val="1"/>
        <charset val="204"/>
      </rPr>
      <t>витрати на проведення навчання на рік, тис. грн.</t>
    </r>
  </si>
  <si>
    <r>
      <t xml:space="preserve">Показники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</si>
  <si>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 xml:space="preserve">Показники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охоплення ВІЛ-позитивних вагітних жінок та дітей, народжених ними, профілактикою інфікування ВІЛ антиретровірусними препаратами. Базове значення показника – 99,5%</t>
    </r>
  </si>
  <si>
    <t>2.1.</t>
  </si>
  <si>
    <t>2.2.</t>
  </si>
  <si>
    <t>2.3.</t>
  </si>
  <si>
    <t>2.4.</t>
  </si>
  <si>
    <r>
      <t xml:space="preserve">Показники продукту: </t>
    </r>
    <r>
      <rPr>
        <sz val="12"/>
        <color indexed="8"/>
        <rFont val="Times New Roman"/>
        <family val="1"/>
        <charset val="204"/>
      </rPr>
      <t>кількість закладів, де запроваджено лабораторне підтвердження та реєстрація випадку за місцем виявлення, одиниць</t>
    </r>
  </si>
  <si>
    <r>
      <t>Показник якості:</t>
    </r>
    <r>
      <rPr>
        <sz val="12"/>
        <color indexed="8"/>
        <rFont val="Times New Roman"/>
        <family val="1"/>
        <charset val="204"/>
      </rPr>
      <t xml:space="preserve"> динаміка частки ЛЖВ, яким забезпечено реєстрацію та лабораторне підтвердження випадку ВІЛ-інфекції за місцем його виявлення відносно базового показника – менше 36%</t>
    </r>
  </si>
  <si>
    <r>
      <t xml:space="preserve">Показники продукту: </t>
    </r>
    <r>
      <rPr>
        <sz val="12"/>
        <color indexed="8"/>
        <rFont val="Times New Roman"/>
        <family val="1"/>
        <charset val="204"/>
      </rPr>
      <t>закладів охорони здоров’я, у яких запроваджений  міський день тестування  на ВІЛ-інфекцію, одиниць</t>
    </r>
  </si>
  <si>
    <r>
      <t>Показник якості:</t>
    </r>
    <r>
      <rPr>
        <sz val="12"/>
        <color indexed="8"/>
        <rFont val="Times New Roman"/>
        <family val="1"/>
        <charset val="204"/>
      </rPr>
      <t xml:space="preserve"> динаміка частки ЗОЗ, де запроваджений міський день  тестування  на ВІЛ-інфекцію (базовий показник – 0%)</t>
    </r>
  </si>
  <si>
    <r>
      <t xml:space="preserve">Показники продукту: </t>
    </r>
    <r>
      <rPr>
        <sz val="12"/>
        <color indexed="8"/>
        <rFont val="Times New Roman"/>
        <family val="1"/>
        <charset val="204"/>
      </rPr>
      <t>кількість закладів охорони здоров’я, де населення має доступ до ПТВ, одиниць</t>
    </r>
  </si>
  <si>
    <r>
      <t xml:space="preserve">Показник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закладів охорони здоров’я, де населення має доступ до ПТВ, відносно базового показника – менше 10%</t>
    </r>
  </si>
  <si>
    <t>2.5.</t>
  </si>
  <si>
    <r>
      <t xml:space="preserve">Показник затрат: </t>
    </r>
    <r>
      <rPr>
        <sz val="12"/>
        <color indexed="8"/>
        <rFont val="Times New Roman"/>
        <family val="1"/>
        <charset val="204"/>
      </rPr>
      <t xml:space="preserve">тис. грн. </t>
    </r>
  </si>
  <si>
    <r>
      <t xml:space="preserve">Показник продукту: </t>
    </r>
    <r>
      <rPr>
        <sz val="12"/>
        <color indexed="8"/>
        <rFont val="Times New Roman"/>
        <family val="1"/>
        <charset val="204"/>
      </rPr>
      <t xml:space="preserve">кількість створених кабінетів інтегрованої допомоги ГПР, одиниць  </t>
    </r>
  </si>
  <si>
    <r>
      <t xml:space="preserve">Показник ефективності: </t>
    </r>
    <r>
      <rPr>
        <sz val="12"/>
        <color indexed="8"/>
        <rFont val="Times New Roman"/>
        <family val="1"/>
        <charset val="204"/>
      </rPr>
      <t>середня чисельність населення на 1 діючий кабінет інтегрованої допомоги ГПР, тис. осіб</t>
    </r>
  </si>
  <si>
    <r>
      <t xml:space="preserve">Показник ефективності: </t>
    </r>
    <r>
      <rPr>
        <sz val="12"/>
        <color indexed="8"/>
        <rFont val="Times New Roman"/>
        <family val="1"/>
        <charset val="204"/>
      </rPr>
      <t>середня вартість облаштування одного кабінету інтегрованої допомоги ГПР, тис. грн.</t>
    </r>
  </si>
  <si>
    <r>
      <t xml:space="preserve">Показник якості: </t>
    </r>
    <r>
      <rPr>
        <sz val="12"/>
        <color indexed="8"/>
        <rFont val="Times New Roman"/>
        <family val="1"/>
        <charset val="204"/>
      </rPr>
      <t>динаміка</t>
    </r>
    <r>
      <rPr>
        <b/>
        <sz val="12"/>
        <color indexed="8"/>
        <rFont val="Times New Roman"/>
        <family val="1"/>
        <charset val="204"/>
      </rPr>
      <t xml:space="preserve"> </t>
    </r>
    <r>
      <rPr>
        <sz val="12"/>
        <color indexed="8"/>
        <rFont val="Times New Roman"/>
        <family val="1"/>
        <charset val="204"/>
      </rPr>
      <t>частки районів міста, де населення з числа ГПР має доступ до послуг комплексних ВІЛ-послуг за місцем проживання. Базовий показник - 50% (2016 р.)</t>
    </r>
  </si>
  <si>
    <t>2.6.</t>
  </si>
  <si>
    <t>2.7.</t>
  </si>
  <si>
    <r>
      <t xml:space="preserve">Показник продукту: </t>
    </r>
    <r>
      <rPr>
        <sz val="12"/>
        <color indexed="8"/>
        <rFont val="Times New Roman"/>
        <family val="1"/>
        <charset val="204"/>
      </rPr>
      <t>кількість осіб з числа ГПР, у яких було діагностовано ВІЛ на базі НУО</t>
    </r>
  </si>
  <si>
    <r>
      <t xml:space="preserve">Показник ефективності: </t>
    </r>
    <r>
      <rPr>
        <sz val="12"/>
        <color indexed="8"/>
        <rFont val="Times New Roman"/>
        <family val="1"/>
        <charset val="204"/>
      </rPr>
      <t>вартість виявлення 1 ЛЖВ з числа ГПР на базі НУО</t>
    </r>
  </si>
  <si>
    <r>
      <t>Показник якості:</t>
    </r>
    <r>
      <rPr>
        <sz val="12"/>
        <color indexed="8"/>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</si>
  <si>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color indexed="8"/>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</si>
  <si>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color indexed="8"/>
        <rFont val="Times New Roman"/>
        <family val="1"/>
        <charset val="204"/>
      </rPr>
      <t>Забезпечено належного рівню якості досліджень з використанням швидких тестів</t>
    </r>
  </si>
  <si>
    <r>
      <t xml:space="preserve">Показники продукту: </t>
    </r>
    <r>
      <rPr>
        <sz val="12"/>
        <color indexed="8"/>
        <rFont val="Times New Roman"/>
        <family val="1"/>
        <charset val="204"/>
      </rPr>
      <t>кількість зареєстрованих нових випадків ВІЛ-інфекції</t>
    </r>
  </si>
  <si>
    <r>
      <t xml:space="preserve">Показник ефективності: </t>
    </r>
    <r>
      <rPr>
        <sz val="12"/>
        <color indexed="8"/>
        <rFont val="Times New Roman"/>
        <family val="1"/>
        <charset val="204"/>
      </rPr>
      <t>середні витрати на залучення 1 ЛЖВ до медичного спостереження, тис. грн.</t>
    </r>
  </si>
  <si>
    <r>
      <t xml:space="preserve">Показники продукту: </t>
    </r>
    <r>
      <rPr>
        <sz val="12"/>
        <color indexed="8"/>
        <rFont val="Times New Roman"/>
        <family val="1"/>
        <charset val="204"/>
      </rPr>
      <t>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t>
    </r>
  </si>
  <si>
    <r>
      <t xml:space="preserve">Показники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 xml:space="preserve"> 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 у ЗОЗ. Базовий показник –18%.</t>
    </r>
  </si>
  <si>
    <r>
      <t xml:space="preserve">Показники якості: </t>
    </r>
    <r>
      <rPr>
        <sz val="12"/>
        <color indexed="8"/>
        <rFont val="Times New Roman"/>
        <family val="1"/>
        <charset val="204"/>
      </rPr>
      <t>динаміка показника охоплення ВІЛ-позитивних осіб медичним обліком від кількості ВІЛ-позитивних осіб за даними СЕМ, %</t>
    </r>
  </si>
  <si>
    <r>
      <t xml:space="preserve">Показники продукту: </t>
    </r>
    <r>
      <rPr>
        <sz val="12"/>
        <color indexed="8"/>
        <rFont val="Times New Roman"/>
        <family val="1"/>
        <charset val="204"/>
      </rPr>
      <t xml:space="preserve">кількість ЛЖВ </t>
    </r>
    <r>
      <rPr>
        <b/>
        <sz val="12"/>
        <color indexed="8"/>
        <rFont val="Times New Roman"/>
        <family val="1"/>
        <charset val="204"/>
      </rPr>
      <t xml:space="preserve"> </t>
    </r>
    <r>
      <rPr>
        <sz val="12"/>
        <color indexed="8"/>
        <rFont val="Times New Roman"/>
        <family val="1"/>
        <charset val="204"/>
      </rPr>
      <t>з вперше встановленим діагнозом, які взяті під медичне спостереження лікарем-інфекціоністом за місцем проживання</t>
    </r>
  </si>
  <si>
    <r>
      <t xml:space="preserve">Показники якості: </t>
    </r>
    <r>
      <rPr>
        <sz val="12"/>
        <color indexed="8"/>
        <rFont val="Times New Roman"/>
        <family val="1"/>
        <charset val="204"/>
      </rPr>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</si>
  <si>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Запровадити у закладах охорони здоров’я, які надають (у т.ч. амбулаторну) медичну допомогу населенню, ПТВ з використанням швидких тестів: для осіб, які мають клінічні ознаки ВІЛ/СНІД; для осіб, у яких наявні поведінкові фактори ризику, та їхніх статевих партнерів; для статевих партнерів людей, які живуть з ВІЛ-інфекціею</t>
  </si>
  <si>
    <t>3.1.2.</t>
  </si>
  <si>
    <t>3.1.3.</t>
  </si>
  <si>
    <t>3.2.</t>
  </si>
  <si>
    <r>
      <t xml:space="preserve">Показник продукту: </t>
    </r>
    <r>
      <rPr>
        <sz val="12"/>
        <color indexed="8"/>
        <rFont val="Times New Roman"/>
        <family val="1"/>
        <charset val="204"/>
      </rPr>
      <t xml:space="preserve">кількість ЛЖВ, які охоплені діагностикою опортуністичних інфекцій при взятті під медичний нагляд </t>
    </r>
  </si>
  <si>
    <r>
      <t xml:space="preserve">Показник ефективності: </t>
    </r>
    <r>
      <rPr>
        <sz val="12"/>
        <color indexed="8"/>
        <rFont val="Times New Roman"/>
        <family val="1"/>
        <charset val="204"/>
      </rPr>
      <t>середня вартість лабораторного  обстеження на опортуністичні інфекції</t>
    </r>
  </si>
  <si>
    <r>
      <t xml:space="preserve">Показник якості: </t>
    </r>
    <r>
      <rPr>
        <sz val="12"/>
        <color indexed="8"/>
        <rFont val="Times New Roman"/>
        <family val="1"/>
        <charset val="204"/>
      </rPr>
      <t>динаміка частки охоплення</t>
    </r>
    <r>
      <rPr>
        <b/>
        <sz val="12"/>
        <color indexed="8"/>
        <rFont val="Times New Roman"/>
        <family val="1"/>
        <charset val="204"/>
      </rPr>
      <t xml:space="preserve"> </t>
    </r>
    <r>
      <rPr>
        <sz val="12"/>
        <color indexed="8"/>
        <rFont val="Times New Roman"/>
        <family val="1"/>
        <charset val="204"/>
      </rPr>
      <t xml:space="preserve">ЛЖВ обстеженням на опортуністичні інфекції від кількості взятих під медичний нагляд. Базовий рівень показника – 30% </t>
    </r>
  </si>
  <si>
    <t>3.3.</t>
  </si>
  <si>
    <t>загально діагностичні дослідження та визначення маркерів гепатитів та сифілісу</t>
  </si>
  <si>
    <t>профілактика опортуністичних інфекцій у ЛЖВ</t>
  </si>
  <si>
    <t>3.3.1</t>
  </si>
  <si>
    <t>3.3.2</t>
  </si>
  <si>
    <t>3.3.3.</t>
  </si>
  <si>
    <t>3.4.</t>
  </si>
  <si>
    <t>3.4.1.</t>
  </si>
  <si>
    <t xml:space="preserve">Забезпечити профілактику та лікування опортуністичних інфекцій у ЛЖВ, з них: </t>
  </si>
  <si>
    <t>3.4.2.</t>
  </si>
  <si>
    <t>3.5.</t>
  </si>
  <si>
    <r>
      <t xml:space="preserve">Показник продукту: </t>
    </r>
    <r>
      <rPr>
        <sz val="12"/>
        <color indexed="8"/>
        <rFont val="Times New Roman"/>
        <family val="1"/>
        <charset val="204"/>
      </rPr>
      <t xml:space="preserve">кількість ЛЖВ, які охоплені діагностикою ко-інфекцій та супутніх захворювань </t>
    </r>
  </si>
  <si>
    <r>
      <t xml:space="preserve">Показник ефективності: </t>
    </r>
    <r>
      <rPr>
        <sz val="12"/>
        <color indexed="8"/>
        <rFont val="Times New Roman"/>
        <family val="1"/>
        <charset val="204"/>
      </rPr>
      <t xml:space="preserve">середня вартість клініко-лабораторного  обстеження ЛЖВ </t>
    </r>
  </si>
  <si>
    <r>
      <t xml:space="preserve">Показник якості: </t>
    </r>
    <r>
      <rPr>
        <sz val="12"/>
        <color indexed="8"/>
        <rFont val="Times New Roman"/>
        <family val="1"/>
        <charset val="204"/>
      </rPr>
      <t>динаміка охоплення</t>
    </r>
    <r>
      <rPr>
        <b/>
        <sz val="12"/>
        <color indexed="8"/>
        <rFont val="Times New Roman"/>
        <family val="1"/>
        <charset val="204"/>
      </rPr>
      <t xml:space="preserve"> </t>
    </r>
    <r>
      <rPr>
        <sz val="12"/>
        <color indexed="8"/>
        <rFont val="Times New Roman"/>
        <family val="1"/>
        <charset val="204"/>
      </rPr>
      <t>повним</t>
    </r>
    <r>
      <rPr>
        <b/>
        <sz val="12"/>
        <color indexed="8"/>
        <rFont val="Times New Roman"/>
        <family val="1"/>
        <charset val="204"/>
      </rPr>
      <t xml:space="preserve"> </t>
    </r>
    <r>
      <rPr>
        <sz val="12"/>
        <color indexed="8"/>
        <rFont val="Times New Roman"/>
        <family val="1"/>
        <charset val="204"/>
      </rPr>
      <t>клініко-лабораторним обстеженням ЛЖВ при взятті під медичний нагляд. Базовий рівень показника 80%</t>
    </r>
  </si>
  <si>
    <r>
      <t xml:space="preserve">Показник продукту: </t>
    </r>
    <r>
      <rPr>
        <sz val="12"/>
        <color indexed="8"/>
        <rFont val="Times New Roman"/>
        <family val="1"/>
        <charset val="204"/>
      </rPr>
      <t>кількість ЛЖВ, яким проведено визначення рівня CD4 відповідно до клінічного протоколу, осіб</t>
    </r>
  </si>
  <si>
    <r>
      <t xml:space="preserve">Показник ефективності: </t>
    </r>
    <r>
      <rPr>
        <sz val="12"/>
        <color indexed="8"/>
        <rFont val="Times New Roman"/>
        <family val="1"/>
        <charset val="204"/>
      </rPr>
      <t>вартість одного дослідження CD4,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</si>
  <si>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 осіб ЛЖВ, яким визначений рівень CD4. Базовий показник 100%</t>
    </r>
  </si>
  <si>
    <r>
      <t xml:space="preserve">Показник продукту: </t>
    </r>
    <r>
      <rPr>
        <sz val="12"/>
        <color indexed="8"/>
        <rFont val="Times New Roman"/>
        <family val="1"/>
        <charset val="204"/>
      </rPr>
      <t>кількість ЛЖВ, яка забезпечена</t>
    </r>
    <r>
      <rPr>
        <b/>
        <sz val="12"/>
        <color indexed="8"/>
        <rFont val="Times New Roman"/>
        <family val="1"/>
        <charset val="204"/>
      </rPr>
      <t xml:space="preserve"> </t>
    </r>
    <r>
      <rPr>
        <sz val="12"/>
        <color indexed="8"/>
        <rFont val="Times New Roman"/>
        <family val="1"/>
        <charset val="204"/>
      </rPr>
      <t>вакуумні систем для забору крові, осіб</t>
    </r>
  </si>
  <si>
    <r>
      <t xml:space="preserve">Показник ефективності: </t>
    </r>
    <r>
      <rPr>
        <sz val="12"/>
        <color indexed="8"/>
        <rFont val="Times New Roman"/>
        <family val="1"/>
        <charset val="204"/>
      </rPr>
      <t xml:space="preserve">вартість забезпечення вакуумними системами  однієї особи ЛЖВ на рік, тис. грн. </t>
    </r>
  </si>
  <si>
    <r>
      <t>Показник якості:</t>
    </r>
    <r>
      <rPr>
        <sz val="12"/>
        <color indexed="8"/>
        <rFont val="Times New Roman"/>
        <family val="1"/>
        <charset val="204"/>
      </rPr>
      <t xml:space="preserve"> динаміка частки осіб ЛЖВ, які забезпечені вакуумними системами. Базовий показник 100%</t>
    </r>
  </si>
  <si>
    <r>
      <t xml:space="preserve">Показники продукту: </t>
    </r>
    <r>
      <rPr>
        <sz val="12"/>
        <color indexed="8"/>
        <rFont val="Times New Roman"/>
        <family val="1"/>
        <charset val="204"/>
      </rPr>
      <t>кількість ЛЖВ, які отримали:</t>
    </r>
  </si>
  <si>
    <r>
      <t xml:space="preserve">Показник ефективності: </t>
    </r>
    <r>
      <rPr>
        <sz val="12"/>
        <color indexed="8"/>
        <rFont val="Times New Roman"/>
        <family val="1"/>
        <charset val="204"/>
      </rPr>
      <t>середня вартість 1 курсу профілактики опортуністичних інфекцій на рік</t>
    </r>
  </si>
  <si>
    <r>
      <t xml:space="preserve">Показник якості: </t>
    </r>
    <r>
      <rPr>
        <sz val="12"/>
        <color indexed="8"/>
        <rFont val="Times New Roman"/>
        <family val="1"/>
        <charset val="204"/>
      </rPr>
      <t>динаміка частки ЛЖВ, яка отримує доступ до профілактики опортуністичних інфекцій. Базовий показник 45%</t>
    </r>
  </si>
  <si>
    <r>
      <t xml:space="preserve">Показники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</si>
  <si>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середня вартість лікування,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</si>
  <si>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ЛЖВ від тих, що потребують, які отримали лікування опортуністичних інфекцій за кошти місцевого бюджету. Базовий рівень показника - 10%</t>
    </r>
  </si>
  <si>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</si>
  <si>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середня вартість навчання,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</si>
  <si>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показника</t>
    </r>
    <r>
      <rPr>
        <b/>
        <sz val="12"/>
        <color indexed="8"/>
        <rFont val="Times New Roman"/>
        <family val="1"/>
        <charset val="204"/>
      </rPr>
      <t xml:space="preserve"> </t>
    </r>
    <r>
      <rPr>
        <sz val="12"/>
        <color indexed="8"/>
        <rFont val="Times New Roman"/>
        <family val="1"/>
        <charset val="204"/>
      </rPr>
      <t>відсотка лікарів-інфекціоністів ЗОЗ</t>
    </r>
    <r>
      <rPr>
        <b/>
        <sz val="12"/>
        <color indexed="8"/>
        <rFont val="Times New Roman"/>
        <family val="1"/>
        <charset val="204"/>
      </rPr>
      <t xml:space="preserve"> </t>
    </r>
    <r>
      <rPr>
        <sz val="12"/>
        <color indexed="8"/>
        <rFont val="Times New Roman"/>
        <family val="1"/>
        <charset val="204"/>
      </rPr>
      <t>вторинного рівня надання медичної допомоги, які пройшли навчання з питань діагностики та лікування ВІЛ-інфекції/СНІДу. Базовий рівень – 3%</t>
    </r>
  </si>
  <si>
    <t>4.2.</t>
  </si>
  <si>
    <t>Оптимізувати процес видачі антиретровірусних препаратів (далі - АРВП) шляхом 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</si>
  <si>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 xml:space="preserve">Показник затрат, тис. грн. </t>
  </si>
  <si>
    <r>
      <t>Показник продукту:</t>
    </r>
    <r>
      <rPr>
        <sz val="12"/>
        <color indexed="8"/>
        <rFont val="Times New Roman"/>
        <family val="1"/>
        <charset val="204"/>
      </rPr>
      <t xml:space="preserve"> кількість аптечних закладів та чисельність ЛЖВ, які отримують у них АРВП (</t>
    </r>
    <r>
      <rPr>
        <i/>
        <sz val="12"/>
        <color indexed="8"/>
        <rFont val="Times New Roman"/>
        <family val="1"/>
        <charset val="204"/>
      </rPr>
      <t>моніторинг запровадження</t>
    </r>
    <r>
      <rPr>
        <sz val="12"/>
        <color indexed="8"/>
        <rFont val="Times New Roman"/>
        <family val="1"/>
        <charset val="204"/>
      </rPr>
      <t>)</t>
    </r>
  </si>
  <si>
    <r>
      <t xml:space="preserve">Показник ефективності: </t>
    </r>
    <r>
      <rPr>
        <sz val="12"/>
        <color indexed="8"/>
        <rFont val="Times New Roman"/>
        <family val="1"/>
        <charset val="204"/>
      </rPr>
      <t>вартість затрат на одного пацієнта, який отримує АРТ через аптеку, тис. грн. Базовий рівень – 0%</t>
    </r>
  </si>
  <si>
    <t>4.3.</t>
  </si>
  <si>
    <r>
      <t xml:space="preserve">Показник продукту: </t>
    </r>
    <r>
      <rPr>
        <sz val="12"/>
        <color indexed="8"/>
        <rFont val="Times New Roman"/>
        <family val="1"/>
        <charset val="204"/>
      </rPr>
      <t>кількість</t>
    </r>
    <r>
      <rPr>
        <b/>
        <sz val="12"/>
        <color indexed="8"/>
        <rFont val="Times New Roman"/>
        <family val="1"/>
        <charset val="204"/>
      </rPr>
      <t xml:space="preserve"> </t>
    </r>
    <r>
      <rPr>
        <sz val="12"/>
        <color indexed="8"/>
        <rFont val="Times New Roman"/>
        <family val="1"/>
        <charset val="204"/>
      </rPr>
      <t>лікарів, які охопленні безперервним навчанням з антиретровірусної терапії</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</si>
  <si>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антиретровірусної терапії, тис. грн.</t>
    </r>
  </si>
  <si>
    <r>
      <t xml:space="preserve">Показник якості: </t>
    </r>
    <r>
      <rPr>
        <sz val="12"/>
        <color indexed="8"/>
        <rFont val="Times New Roman"/>
        <family val="1"/>
        <charset val="204"/>
      </rPr>
      <t xml:space="preserve">відсоток підготовлених лікарів, які кваліфіковано призначають та забезпечують моніторинг ефективності  антиретровірусної терапії </t>
    </r>
  </si>
  <si>
    <r>
      <t>Показник продукту:</t>
    </r>
    <r>
      <rPr>
        <sz val="12"/>
        <color indexed="8"/>
        <rFont val="Times New Roman"/>
        <family val="1"/>
        <charset val="204"/>
      </rPr>
      <t xml:space="preserve"> кількість лікарів, які охоплені безперервним  навчанням з профілактики, діагностики та лікування опортуністичних 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</si>
  <si>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профілактики, діагностики та лікування опортуністичних інфекцій у ЛЖВ, тис. грн.</t>
    </r>
  </si>
  <si>
    <r>
      <t>Показник продукту:</t>
    </r>
    <r>
      <rPr>
        <sz val="12"/>
        <color indexed="8"/>
        <rFont val="Times New Roman"/>
        <family val="1"/>
        <charset val="204"/>
      </rPr>
      <t xml:space="preserve"> кількість лікарів, які пройшли навчання з діагностики та лікування ко-інфекцій у ЛЖВ</t>
    </r>
  </si>
  <si>
    <r>
      <t xml:space="preserve">Показник якості: </t>
    </r>
    <r>
      <rPr>
        <sz val="12"/>
        <color indexed="8"/>
        <rFont val="Times New Roman"/>
        <family val="1"/>
        <charset val="204"/>
      </rPr>
      <t>відсоток лікарів, які пройшли навчання з діагностики та лікування ко-інфекцій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</si>
  <si>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діагностики та лікування ко-інфекцій у ЛЖВ (ВІЛ, вірусного гепатиту В і С, туберкульозу), тис. грн.</t>
    </r>
  </si>
  <si>
    <t>4.3.1.</t>
  </si>
  <si>
    <t>4.3.2.</t>
  </si>
  <si>
    <t>4.3.3.</t>
  </si>
  <si>
    <t>5.</t>
  </si>
  <si>
    <t>5.1.</t>
  </si>
  <si>
    <r>
      <t xml:space="preserve">Показник продукту: </t>
    </r>
    <r>
      <rPr>
        <sz val="12"/>
        <color indexed="8"/>
        <rFont val="Times New Roman"/>
        <family val="1"/>
        <charset val="204"/>
      </rPr>
      <t>чисельність ЛЖВ, у яких досягнуто невизначуваного рівня вірусного навантаження (&lt; 40 РНК копій/мл)</t>
    </r>
  </si>
  <si>
    <r>
      <t xml:space="preserve">Показник ефективності: </t>
    </r>
    <r>
      <rPr>
        <sz val="12"/>
        <color indexed="8"/>
        <rFont val="Times New Roman"/>
        <family val="1"/>
        <charset val="204"/>
      </rPr>
      <t xml:space="preserve">вартість клініко-лабораторного супроводу ефективності лікування 1 людини на рік, тис. грн. </t>
    </r>
  </si>
  <si>
    <r>
      <t xml:space="preserve">Показник якості: </t>
    </r>
    <r>
      <rPr>
        <sz val="12"/>
        <color indexed="8"/>
        <rFont val="Times New Roman"/>
        <family val="1"/>
        <charset val="204"/>
      </rPr>
      <t>динаміка показника відсотка ЛЖВ, охоплених клініко-лабораторним моніторингом ефективності АРТ. Базовий рівень – 95%</t>
    </r>
  </si>
  <si>
    <t>5.3.</t>
  </si>
  <si>
    <r>
      <t>Показник продукту:</t>
    </r>
    <r>
      <rPr>
        <sz val="12"/>
        <color indexed="8"/>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</si>
  <si>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color indexed="8"/>
        <rFont val="Times New Roman"/>
        <family val="1"/>
        <charset val="204"/>
      </rPr>
      <t>затрати до кількості навчених лікарів, які надають допомогу ЛЖВ, тис.грн.</t>
    </r>
  </si>
  <si>
    <r>
      <t>Показник якості:</t>
    </r>
    <r>
      <rPr>
        <sz val="12"/>
        <color indexed="8"/>
        <rFont val="Times New Roman"/>
        <family val="1"/>
        <charset val="204"/>
      </rPr>
      <t xml:space="preserve"> динаміка частки лікарів, які пройшли стажування з числа тих, що надають допомогу ЛЖВ. Базовий рівень – 12%</t>
    </r>
  </si>
  <si>
    <t>Проведено процедуру відкритих торгів. за підсумками аукціону який відбувся 01-06-2017, 11:26  визначено переможця КП "Фармація", але в звязку з відмовою від підписання договору пропозицію КП "Фарсмація" відхилено, та на даний час проводиться оцінка пропозиції наступного учасника ТОВ"БізнесЦентр Фармація"</t>
  </si>
  <si>
    <t>На даний час 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t>
  </si>
  <si>
    <t>Готуються пропозиції щодо перерозподілу коштів на інші райони м. Києва</t>
  </si>
  <si>
    <t>За підсумками проведення закупівлі визначено переможців та укладено договори. На даний час здійснюється постачання товару</t>
  </si>
  <si>
    <t>Повторно Оголошено закупівлю UA-2017-07-14-000332-c Вакуумні системи для забору крові  14.07.17, аукціон після 01.08.17</t>
  </si>
  <si>
    <t xml:space="preserve">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Проводиться робота по внесенню змін до показника (за рахунок економії) </t>
  </si>
  <si>
    <t>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р. Проводиться робота по внесенню змін до показника (за рахунок економії) .</t>
  </si>
  <si>
    <t>Оголошено закупівлю відкриті торги з публікацією англійською мовою UA-2017-07-18-000770-a Аукціон 25-09-2017 р. Проводиться робота по внесенню змін до показника (за рахунок економії) .</t>
  </si>
  <si>
    <t xml:space="preserve">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 </t>
  </si>
  <si>
    <t>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t>
  </si>
  <si>
    <t xml:space="preserve">Готується документація для проведення відкритих торгів та проводиться робота по внесенню змін до показника (за рахунок оотримання технічної допомоги від міжнародних донорських організацій). </t>
  </si>
  <si>
    <t>Оголошено закупівлю відкриті торги з публікацією англійською мовою UA-2017-07-18-000770-a Аукціон 25-09-2017. Проводиться робота по внесенню змін до показника (за рахунок економії).</t>
  </si>
  <si>
    <t>Річний показник</t>
  </si>
  <si>
    <t xml:space="preserve">Проведена закупівля відкриті торги UA-2017-05-05-001920-b, за підсумками торгів визначено переможця та укладено договір 06.06.2017 р. Сума закупівлі становить 1474,355 тис. грн.   Перша партія товару надійшла до закладу 07.06.17 Сума постачання склала 434,994 тис. грн. Постачання наступної партії товару планується на 26.07.17 Сума замовлення становить 120 тис. грн. Розрахунки за поставлений товар проведено в сумі 434 тис. грн. 14.07.17 р. Проводиться робота по внесенню змін до показника (за рахунок економії) </t>
  </si>
  <si>
    <t xml:space="preserve">Проводиться робота по внесенню змін до показника (за рахунок оотримання технічної допомоги від міжнародних донорських організацій). </t>
  </si>
  <si>
    <t xml:space="preserve">Проводиться робота по внесенню змін до показника </t>
  </si>
  <si>
    <r>
      <t xml:space="preserve">Показники продукту: </t>
    </r>
    <r>
      <rPr>
        <sz val="12"/>
        <rFont val="Times New Roman"/>
        <family val="1"/>
        <charset val="204"/>
      </rPr>
      <t>чисельність ЛЖВ, які отримують АРТ, осіб</t>
    </r>
  </si>
  <si>
    <t>Затримка у отриманні антиретровірусних препаратів.</t>
  </si>
  <si>
    <t>Головний лікар</t>
  </si>
  <si>
    <t>О.Юрченко</t>
  </si>
  <si>
    <t>Вик. Антоненко 450-96-15</t>
  </si>
  <si>
    <t xml:space="preserve">         Бодня 452-68050</t>
  </si>
  <si>
    <t>про виконання результативних показників у І півріччі 2017 року Міської цільової програми протидії епідемії ВІЛ-інфекції</t>
  </si>
  <si>
    <t>Інформація про виконання програми за 9 місяців 2017 року</t>
  </si>
  <si>
    <t>Інформація про виконання за 9 місяців 2017 року Міської цільової програми протидії епідемії  ВІЛ-інфекції на 2017-2021 роки</t>
  </si>
  <si>
    <t>про виконання результативних показників у І-ІІІ кварталах 2017 року Міської цільової програми протидії епідемії ВІЛ-інфекції</t>
  </si>
  <si>
    <r>
      <t>Показник якості:</t>
    </r>
    <r>
      <rPr>
        <sz val="12"/>
        <color indexed="8"/>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</si>
  <si>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</si>
  <si>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r>
      <rPr>
        <b/>
        <sz val="12"/>
        <rFont val="Times New Roman"/>
        <family val="1"/>
        <charset val="204"/>
      </rPr>
      <t>Показник продукту</t>
    </r>
    <r>
      <rPr>
        <sz val="12"/>
        <rFont val="Times New Roman"/>
        <family val="1"/>
        <charset val="204"/>
      </rPr>
      <t>: кількість оснащених кабінетів ЗПТ на базі закладів охорони здоров’я ПМСД</t>
    </r>
  </si>
  <si>
    <r>
      <rPr>
        <b/>
        <sz val="12"/>
        <rFont val="Times New Roman"/>
        <family val="1"/>
        <charset val="204"/>
      </rPr>
      <t>Показник ефективності:</t>
    </r>
    <r>
      <rPr>
        <sz val="12"/>
        <rFont val="Times New Roman"/>
        <family val="1"/>
        <charset val="204"/>
      </rPr>
      <t xml:space="preserve"> середнія вартість оснащення кабінету ЗПТ, тис. грн.</t>
    </r>
  </si>
  <si>
    <r>
      <rPr>
        <b/>
        <sz val="12"/>
        <rFont val="Times New Roman"/>
        <family val="1"/>
        <charset val="204"/>
      </rPr>
      <t>Показник якості:</t>
    </r>
    <r>
      <rPr>
        <sz val="12"/>
        <rFont val="Times New Roman"/>
        <family val="1"/>
        <charset val="204"/>
      </rPr>
      <t xml:space="preserve"> динаміка кількості районів, де запроваджено ЗПТ на базі закладів охорони здоров’я ПМСД. Базовий рівень – 0</t>
    </r>
  </si>
  <si>
    <t>забезпечення препаратами ЗПТ</t>
  </si>
  <si>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</si>
  <si>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ЛВІН, які отримують ЗПТ, всього осіб, з них:</t>
    </r>
  </si>
  <si>
    <r>
      <rPr>
        <b/>
        <sz val="12"/>
        <rFont val="Times New Roman"/>
        <family val="1"/>
        <charset val="204"/>
      </rPr>
      <t>Показник продукту</t>
    </r>
    <r>
      <rPr>
        <sz val="12"/>
        <rFont val="Times New Roman"/>
        <family val="1"/>
        <charset val="204"/>
      </rPr>
      <t>: кількість ЛВІН, які отримують ЗПТ за кошти Державного бюджету</t>
    </r>
  </si>
  <si>
    <r>
      <rPr>
        <b/>
        <sz val="12"/>
        <rFont val="Times New Roman"/>
        <family val="1"/>
        <charset val="204"/>
      </rPr>
      <t>Показник продукту</t>
    </r>
    <r>
      <rPr>
        <sz val="12"/>
        <rFont val="Times New Roman"/>
        <family val="1"/>
        <charset val="204"/>
      </rPr>
      <t>: кількість ЛВІН, які отримують ЗПТ за інші кошти</t>
    </r>
  </si>
  <si>
    <r>
      <rPr>
        <b/>
        <sz val="12"/>
        <rFont val="Times New Roman"/>
        <family val="1"/>
        <charset val="204"/>
      </rPr>
      <t>Показник продукту</t>
    </r>
    <r>
      <rPr>
        <sz val="12"/>
        <rFont val="Times New Roman"/>
        <family val="1"/>
        <charset val="204"/>
      </rPr>
      <t>: кількість ЛВІН, які отримують ЗПТ за кошти бюджету міста Києва</t>
    </r>
  </si>
  <si>
    <r>
      <rPr>
        <b/>
        <sz val="12"/>
        <rFont val="Times New Roman"/>
        <family val="1"/>
        <charset val="204"/>
      </rPr>
      <t>Показник ефективності</t>
    </r>
    <r>
      <rPr>
        <sz val="12"/>
        <rFont val="Times New Roman"/>
        <family val="1"/>
        <charset val="204"/>
      </rPr>
      <t>: середні витрати на забезпечення ЗПТ на 1 хворого на рік, тис. грн.</t>
    </r>
  </si>
  <si>
    <r>
      <rPr>
        <b/>
        <sz val="12"/>
        <rFont val="Times New Roman"/>
        <family val="1"/>
        <charset val="204"/>
      </rPr>
      <t>Показник якості</t>
    </r>
    <r>
      <rPr>
        <sz val="12"/>
        <rFont val="Times New Roman"/>
        <family val="1"/>
        <charset val="204"/>
      </rPr>
      <t>: динаміка</t>
    </r>
    <r>
      <rPr>
        <i/>
        <sz val="12"/>
        <rFont val="Times New Roman"/>
        <family val="1"/>
        <charset val="204"/>
      </rPr>
      <t xml:space="preserve"> </t>
    </r>
    <r>
      <rPr>
        <sz val="12"/>
        <rFont val="Times New Roman"/>
        <family val="1"/>
        <charset val="204"/>
      </rPr>
      <t>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r>
  </si>
  <si>
    <t>1.8.</t>
  </si>
  <si>
    <r>
      <rPr>
        <b/>
        <sz val="12"/>
        <color indexed="8"/>
        <rFont val="Times New Roman"/>
        <family val="1"/>
        <charset val="204"/>
      </rPr>
      <t>Показник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</si>
  <si>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color indexed="8"/>
        <rFont val="Times New Roman"/>
        <family val="1"/>
        <charset val="204"/>
      </rPr>
      <t>Показник ефективності</t>
    </r>
    <r>
      <rPr>
        <sz val="12"/>
        <color indexed="8"/>
        <rFont val="Times New Roman"/>
        <family val="1"/>
        <charset val="204"/>
      </rPr>
      <t>: вартість вигодування 1 дитини, народженої від ВІЛ-інфікованої жінки на рік, тис. грн.</t>
    </r>
  </si>
  <si>
    <t>Забезпечити реалізацію заходів, спрямованих на досягнення елімінації передачі ВІЛ від матері до дитини</t>
  </si>
  <si>
    <r>
      <rPr>
        <b/>
        <sz val="12"/>
        <color indexed="8"/>
        <rFont val="Times New Roman"/>
        <family val="1"/>
        <charset val="204"/>
      </rPr>
      <t>Показник продукту</t>
    </r>
    <r>
      <rPr>
        <sz val="12"/>
        <color indexed="8"/>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</si>
  <si>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</si>
  <si>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Забезпечити доступне та ефективне тестування населення на ВІЛ у ЗОЗ та кабінетах Довіри за принципом "тестуй та реєструй" </t>
  </si>
  <si>
    <r>
      <t>Показник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</si>
  <si>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</si>
  <si>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Показник продукту:</t>
    </r>
    <r>
      <rPr>
        <sz val="12"/>
        <color indexed="8"/>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</si>
  <si>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rPr>
        <b/>
        <sz val="12"/>
        <color indexed="8"/>
        <rFont val="Times New Roman"/>
        <family val="1"/>
        <charset val="204"/>
      </rPr>
      <t>Показник продукту</t>
    </r>
    <r>
      <rPr>
        <sz val="12"/>
        <color indexed="8"/>
        <rFont val="Times New Roman"/>
        <family val="1"/>
        <charset val="204"/>
      </rPr>
      <t>: кількість людей, які обстежені на ВІЛ-інфекцію</t>
    </r>
  </si>
  <si>
    <r>
      <rPr>
        <b/>
        <sz val="12"/>
        <color indexed="8"/>
        <rFont val="Times New Roman"/>
        <family val="1"/>
        <charset val="204"/>
      </rPr>
      <t>Показник продукту</t>
    </r>
    <r>
      <rPr>
        <sz val="12"/>
        <color indexed="8"/>
        <rFont val="Times New Roman"/>
        <family val="1"/>
        <charset val="204"/>
      </rPr>
      <t xml:space="preserve">: кількість виявлених випадків ВІЛ-інфекції  </t>
    </r>
  </si>
  <si>
    <r>
      <t xml:space="preserve">Показник затрат: </t>
    </r>
    <r>
      <rPr>
        <sz val="12"/>
        <color indexed="8"/>
        <rFont val="Times New Roman"/>
        <family val="1"/>
        <charset val="204"/>
      </rPr>
      <t>тис. грн.</t>
    </r>
  </si>
  <si>
    <r>
      <rPr>
        <b/>
        <sz val="12"/>
        <color indexed="8"/>
        <rFont val="Times New Roman"/>
        <family val="1"/>
        <charset val="204"/>
      </rPr>
      <t>Показник ефективності</t>
    </r>
    <r>
      <rPr>
        <sz val="12"/>
        <color indexed="8"/>
        <rFont val="Times New Roman"/>
        <family val="1"/>
        <charset val="204"/>
      </rPr>
      <t>: середня вартість виявлення 1 ЛЖВ у ЗОЗ, тис. грн.</t>
    </r>
  </si>
  <si>
    <r>
      <rPr>
        <b/>
        <sz val="12"/>
        <color indexed="8"/>
        <rFont val="Times New Roman"/>
        <family val="1"/>
        <charset val="204"/>
      </rPr>
      <t>Показник якості</t>
    </r>
    <r>
      <rPr>
        <sz val="12"/>
        <color indexed="8"/>
        <rFont val="Times New Roman"/>
        <family val="1"/>
        <charset val="204"/>
      </rPr>
      <t>: відсоток позитивних результатів тестування на ВІЛ-інфекції, %</t>
    </r>
  </si>
  <si>
    <r>
      <rPr>
        <b/>
        <sz val="12"/>
        <color indexed="8"/>
        <rFont val="Times New Roman"/>
        <family val="1"/>
        <charset val="204"/>
      </rPr>
      <t>Показник якості</t>
    </r>
    <r>
      <rPr>
        <sz val="12"/>
        <color indexed="8"/>
        <rFont val="Times New Roman"/>
        <family val="1"/>
        <charset val="204"/>
      </rPr>
      <t>: динаміка частки ЛЖВ, які знають свій ВІЛ-статус від оціночної чисельності ЛЖВ, відносно базового рівня - 47%</t>
    </r>
  </si>
  <si>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</si>
  <si>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r>
      <rPr>
        <b/>
        <sz val="12"/>
        <color indexed="8"/>
        <rFont val="Times New Roman"/>
        <family val="1"/>
        <charset val="204"/>
      </rPr>
      <t>Показник продукту</t>
    </r>
    <r>
      <rPr>
        <sz val="12"/>
        <color indexed="8"/>
        <rFont val="Times New Roman"/>
        <family val="1"/>
        <charset val="204"/>
      </rPr>
      <t>: проведення міського дня тестування  на ВІЛ-інфекцію на рік, одиниць</t>
    </r>
  </si>
  <si>
    <r>
      <rPr>
        <b/>
        <sz val="12"/>
        <color indexed="8"/>
        <rFont val="Times New Roman"/>
        <family val="1"/>
        <charset val="204"/>
      </rPr>
      <t>Показник якості</t>
    </r>
    <r>
      <rPr>
        <sz val="12"/>
        <color indexed="8"/>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</si>
  <si>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</si>
  <si>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</si>
  <si>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</si>
  <si>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r>
      <rPr>
        <b/>
        <sz val="12"/>
        <rFont val="Times New Roman"/>
        <family val="1"/>
        <charset val="204"/>
      </rPr>
      <t>Показник затрат:</t>
    </r>
    <r>
      <rPr>
        <sz val="12"/>
        <rFont val="Times New Roman"/>
        <family val="1"/>
        <charset val="204"/>
      </rPr>
      <t xml:space="preserve">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</si>
  <si>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ПМСД, які впродовж року пройшли навчання з питань застосування у практиці навичок з ПТВ</t>
    </r>
  </si>
  <si>
    <r>
      <rPr>
        <b/>
        <sz val="12"/>
        <rFont val="Times New Roman"/>
        <family val="1"/>
        <charset val="204"/>
      </rPr>
      <t>Показник ефективності</t>
    </r>
    <r>
      <rPr>
        <sz val="12"/>
        <rFont val="Times New Roman"/>
        <family val="1"/>
        <charset val="204"/>
      </rPr>
      <t>: середні витрати на навчання 1 лікаря, тис. грн.</t>
    </r>
  </si>
  <si>
    <r>
      <rPr>
        <b/>
        <sz val="12"/>
        <rFont val="Times New Roman"/>
        <family val="1"/>
        <charset val="204"/>
      </rPr>
      <t>Показник якості</t>
    </r>
    <r>
      <rPr>
        <sz val="12"/>
        <rFont val="Times New Roman"/>
        <family val="1"/>
        <charset val="204"/>
      </rPr>
      <t>: динаміка кількості закладів охорони здоров’я ПМСД, які здійснюють скринінг населення на ВІЛ, %</t>
    </r>
  </si>
  <si>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</si>
  <si>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r>
  </si>
  <si>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</si>
  <si>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Проведення підтверджуючих досліджень у разі отримання позитивного результату тестування на ВІЛ</t>
  </si>
  <si>
    <r>
      <rPr>
        <b/>
        <sz val="12"/>
        <color indexed="8"/>
        <rFont val="Times New Roman"/>
        <family val="1"/>
        <charset val="204"/>
      </rPr>
      <t xml:space="preserve">Показник затрат </t>
    </r>
    <r>
      <rPr>
        <sz val="12"/>
        <color indexed="8"/>
        <rFont val="Times New Roman"/>
        <family val="1"/>
        <charset val="204"/>
      </rPr>
      <t>(ДБ),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</si>
  <si>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</si>
  <si>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color indexed="8"/>
        <rFont val="Times New Roman"/>
        <family val="1"/>
        <charset val="204"/>
      </rPr>
      <t>Показник затрат</t>
    </r>
    <r>
      <rPr>
        <sz val="12"/>
        <color indexed="8"/>
        <rFont val="Times New Roman"/>
        <family val="1"/>
        <charset val="204"/>
      </rPr>
      <t xml:space="preserve"> (МБ),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</si>
  <si>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</si>
  <si>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color indexed="8"/>
        <rFont val="Times New Roman"/>
        <family val="1"/>
        <charset val="204"/>
      </rPr>
      <t>Показник продукту</t>
    </r>
    <r>
      <rPr>
        <sz val="12"/>
        <color indexed="8"/>
        <rFont val="Times New Roman"/>
        <family val="1"/>
        <charset val="204"/>
      </rPr>
      <t>: кількість зареєстрованих нових випадків ВІЛ-інфекції</t>
    </r>
  </si>
  <si>
    <r>
      <rPr>
        <b/>
        <sz val="12"/>
        <color indexed="8"/>
        <rFont val="Times New Roman"/>
        <family val="1"/>
        <charset val="204"/>
      </rPr>
      <t>Показник ефективності</t>
    </r>
    <r>
      <rPr>
        <sz val="12"/>
        <color indexed="8"/>
        <rFont val="Times New Roman"/>
        <family val="1"/>
        <charset val="204"/>
      </rPr>
      <t>: середні витрати на реєстрацію 1 випадку ВІЛ-інфекції, тис. грн.</t>
    </r>
  </si>
  <si>
    <r>
      <rPr>
        <b/>
        <sz val="12"/>
        <color indexed="8"/>
        <rFont val="Times New Roman"/>
        <family val="1"/>
        <charset val="204"/>
      </rPr>
      <t>Показник якості</t>
    </r>
    <r>
      <rPr>
        <sz val="12"/>
        <color indexed="8"/>
        <rFont val="Times New Roman"/>
        <family val="1"/>
        <charset val="204"/>
      </rPr>
      <t>: динаміка показника охоплення ЛЖВ від кількості виявлених осіб, %</t>
    </r>
  </si>
  <si>
    <r>
      <rPr>
        <b/>
        <sz val="12"/>
        <color indexed="8"/>
        <rFont val="Times New Roman"/>
        <family val="1"/>
        <charset val="204"/>
      </rPr>
      <t>Показник якості</t>
    </r>
    <r>
      <rPr>
        <sz val="12"/>
        <color indexed="8"/>
        <rFont val="Times New Roman"/>
        <family val="1"/>
        <charset val="204"/>
      </rPr>
      <t xml:space="preserve">: загальна чисельність ЛЖВ, які знають свій статус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</si>
  <si>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знають свій ВІЛ-статус (від оціночної чисельності ЛЖВ), відносно базового рівня - 47% </t>
    </r>
  </si>
  <si>
    <t>Охоплення медичним спостереженням осіб, яким встановлено діагноз ВІЛ/СНІД під час перебування на стаціонарному лікуванні у ЗОЗ</t>
  </si>
  <si>
    <r>
      <rPr>
        <b/>
        <sz val="12"/>
        <color indexed="8"/>
        <rFont val="Times New Roman"/>
        <family val="1"/>
        <charset val="204"/>
      </rPr>
      <t>Показник продукту</t>
    </r>
    <r>
      <rPr>
        <sz val="12"/>
        <color indexed="8"/>
        <rFont val="Times New Roman"/>
        <family val="1"/>
        <charset val="204"/>
      </rPr>
      <t xml:space="preserve">: кількість осіб, у яких діагностовано ВІЛ-інфекцію під час перебування на стаціонарному лікуванні </t>
    </r>
  </si>
  <si>
    <r>
      <rPr>
        <b/>
        <sz val="12"/>
        <color indexed="8"/>
        <rFont val="Times New Roman"/>
        <family val="1"/>
        <charset val="204"/>
      </rPr>
      <t>Показник продукту</t>
    </r>
    <r>
      <rPr>
        <sz val="12"/>
        <color indexed="8"/>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</si>
  <si>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color indexed="8"/>
        <rFont val="Times New Roman"/>
        <family val="1"/>
        <charset val="204"/>
      </rPr>
      <t>Показник якості:</t>
    </r>
    <r>
      <rPr>
        <sz val="12"/>
        <color indexed="8"/>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</si>
  <si>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</si>
  <si>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r>
      <rPr>
        <b/>
        <sz val="12"/>
        <color indexed="8"/>
        <rFont val="Times New Roman"/>
        <family val="1"/>
        <charset val="204"/>
      </rPr>
      <t>Показник затрат</t>
    </r>
    <r>
      <rPr>
        <sz val="12"/>
        <color indexed="8"/>
        <rFont val="Times New Roman"/>
        <family val="1"/>
        <charset val="204"/>
      </rPr>
      <t>: тис. грн.</t>
    </r>
  </si>
  <si>
    <r>
      <rPr>
        <b/>
        <sz val="12"/>
        <color indexed="8"/>
        <rFont val="Times New Roman"/>
        <family val="1"/>
        <charset val="204"/>
      </rPr>
      <t>Показник продукту</t>
    </r>
    <r>
      <rPr>
        <sz val="12"/>
        <color indexed="8"/>
        <rFont val="Times New Roman"/>
        <family val="1"/>
        <charset val="204"/>
      </rPr>
      <t>: кількість ЛЖВ з числа ГПР, які звернулися за направленням НУО для отриманням допомоги</t>
    </r>
  </si>
  <si>
    <r>
      <rPr>
        <b/>
        <sz val="12"/>
        <color indexed="8"/>
        <rFont val="Times New Roman"/>
        <family val="1"/>
        <charset val="204"/>
      </rPr>
      <t>Показник ефективності</t>
    </r>
    <r>
      <rPr>
        <sz val="12"/>
        <color indexed="8"/>
        <rFont val="Times New Roman"/>
        <family val="1"/>
        <charset val="204"/>
      </rPr>
      <t xml:space="preserve">: вартість витрат на супровід ЛЖВ до закладу медичного здоров’я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</si>
  <si>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звернулися до закладу за направленням НУО. Базовий показник 60%.</t>
    </r>
  </si>
  <si>
    <t>Скорочення термінів взяття ЛЖВ під медичний нагляд у разі виявлення ВІЛ-інфекції</t>
  </si>
  <si>
    <r>
      <rPr>
        <b/>
        <sz val="12"/>
        <rFont val="Times New Roman"/>
        <family val="1"/>
        <charset val="204"/>
      </rPr>
      <t>Показник продукту</t>
    </r>
    <r>
      <rPr>
        <sz val="12"/>
        <rFont val="Times New Roman"/>
        <family val="1"/>
        <charset val="204"/>
      </rPr>
      <t>: кількість ЛЖВ, яких було взято під медичний нагляд у день первинного звернення з приводу діагностованої ВІЛ-інфекції</t>
    </r>
  </si>
  <si>
    <r>
      <rPr>
        <b/>
        <sz val="12"/>
        <rFont val="Times New Roman"/>
        <family val="1"/>
        <charset val="204"/>
      </rPr>
      <t>Показник якості</t>
    </r>
    <r>
      <rPr>
        <sz val="12"/>
        <rFont val="Times New Roman"/>
        <family val="1"/>
        <charset val="204"/>
      </rPr>
      <t>: динаміка частки ЛЖВ, яких було взято під медичний нагляд впродовж 1 дня Базовий показник – 5%</t>
    </r>
  </si>
  <si>
    <t>Забезпечити діагностику опортуністичних інфекцій у ЛЖВ при взятті під медичний нагляд</t>
  </si>
  <si>
    <r>
      <rPr>
        <b/>
        <sz val="12"/>
        <color indexed="8"/>
        <rFont val="Times New Roman"/>
        <family val="1"/>
        <charset val="204"/>
      </rPr>
      <t>Показник затрат</t>
    </r>
    <r>
      <rPr>
        <sz val="12"/>
        <color indexed="8"/>
        <rFont val="Times New Roman"/>
        <family val="1"/>
        <charset val="204"/>
      </rPr>
      <t xml:space="preserve">: тис. грн. </t>
    </r>
  </si>
  <si>
    <r>
      <rPr>
        <b/>
        <sz val="12"/>
        <color indexed="8"/>
        <rFont val="Times New Roman"/>
        <family val="1"/>
        <charset val="204"/>
      </rPr>
      <t>Показник продукту:</t>
    </r>
    <r>
      <rPr>
        <sz val="12"/>
        <color indexed="8"/>
        <rFont val="Times New Roman"/>
        <family val="1"/>
        <charset val="204"/>
      </rPr>
      <t xml:space="preserve"> кількість ЛЖВ, які обстежені на опортуністичні інфекції при взятті під медичний нагляд </t>
    </r>
  </si>
  <si>
    <r>
      <rPr>
        <b/>
        <sz val="12"/>
        <color indexed="8"/>
        <rFont val="Times New Roman"/>
        <family val="1"/>
        <charset val="204"/>
      </rPr>
      <t>Показник ефективності</t>
    </r>
    <r>
      <rPr>
        <sz val="12"/>
        <color indexed="8"/>
        <rFont val="Times New Roman"/>
        <family val="1"/>
        <charset val="204"/>
      </rPr>
      <t xml:space="preserve">: середня вартість лабораторного обстеження на опортуністичні інфекції 1 первинного пацієнта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</si>
  <si>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</si>
  <si>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 xml:space="preserve">Показник продукту: </t>
    </r>
    <r>
      <rPr>
        <sz val="12"/>
        <color indexed="8"/>
        <rFont val="Times New Roman"/>
        <family val="1"/>
        <charset val="204"/>
      </rPr>
      <t xml:space="preserve">кількість ЛЖВ, які охоплені клініко-лабораторним обстеженням </t>
    </r>
  </si>
  <si>
    <r>
      <t xml:space="preserve">Показник ефективності: </t>
    </r>
    <r>
      <rPr>
        <sz val="12"/>
        <color indexed="8"/>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</si>
  <si>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color indexed="8"/>
        <rFont val="Times New Roman"/>
        <family val="1"/>
        <charset val="204"/>
      </rPr>
      <t>динаміка охоплення клініко-лабораторним обстеженням ЛЖВ при взятті під медичний нагляд. Базовий рівень показника 80%</t>
    </r>
  </si>
  <si>
    <t xml:space="preserve"> Забезпечити профілактику та лікування опортуністичних інфекцій у ЛЖВ, з них:</t>
  </si>
  <si>
    <r>
      <t xml:space="preserve">Показник затрат: </t>
    </r>
    <r>
      <rPr>
        <sz val="12"/>
        <color indexed="8"/>
        <rFont val="Times New Roman"/>
        <family val="1"/>
        <charset val="204"/>
      </rPr>
      <t>тис. грн.</t>
    </r>
  </si>
  <si>
    <r>
      <rPr>
        <b/>
        <sz val="12"/>
        <rFont val="Times New Roman"/>
        <family val="1"/>
        <charset val="204"/>
      </rPr>
      <t>Показник продукту</t>
    </r>
    <r>
      <rPr>
        <sz val="12"/>
        <rFont val="Times New Roman"/>
        <family val="1"/>
        <charset val="204"/>
      </rPr>
      <t>: кількість ЛЖВ, які отримали профілактику туберкульозу</t>
    </r>
  </si>
  <si>
    <r>
      <rPr>
        <b/>
        <sz val="12"/>
        <rFont val="Times New Roman"/>
        <family val="1"/>
        <charset val="204"/>
      </rPr>
      <t>Показник продукту</t>
    </r>
    <r>
      <rPr>
        <sz val="12"/>
        <rFont val="Times New Roman"/>
        <family val="1"/>
        <charset val="204"/>
      </rPr>
      <t>: кількість ЛЖВ, які отримали профілактику пневмоцистної пневмонії</t>
    </r>
  </si>
  <si>
    <r>
      <rPr>
        <b/>
        <sz val="12"/>
        <rFont val="Times New Roman"/>
        <family val="1"/>
        <charset val="204"/>
      </rPr>
      <t>Показник продукту:</t>
    </r>
    <r>
      <rPr>
        <sz val="12"/>
        <rFont val="Times New Roman"/>
        <family val="1"/>
        <charset val="204"/>
      </rPr>
      <t xml:space="preserve"> кількість ЛЖВ, які отримали профілактику криптококозу</t>
    </r>
  </si>
  <si>
    <r>
      <rPr>
        <b/>
        <sz val="12"/>
        <rFont val="Times New Roman"/>
        <family val="1"/>
        <charset val="204"/>
      </rPr>
      <t>Показник продукту</t>
    </r>
    <r>
      <rPr>
        <sz val="12"/>
        <rFont val="Times New Roman"/>
        <family val="1"/>
        <charset val="204"/>
      </rPr>
      <t>: кількість ЛЖВ, які отримали профілактику атипових мікобактеріозів</t>
    </r>
  </si>
  <si>
    <r>
      <t xml:space="preserve">Показник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</si>
  <si>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</si>
  <si>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 якості: </t>
    </r>
    <r>
      <rPr>
        <sz val="12"/>
        <color indexed="8"/>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</si>
  <si>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</si>
  <si>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</si>
  <si>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 xml:space="preserve">середня вартість навчання, тис. грн. </t>
    </r>
  </si>
  <si>
    <r>
      <t xml:space="preserve">Показник якості: </t>
    </r>
    <r>
      <rPr>
        <sz val="12"/>
        <color indexed="8"/>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</si>
  <si>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</si>
  <si>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</si>
  <si>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r>
      <t xml:space="preserve">Показник продукту: </t>
    </r>
    <r>
      <rPr>
        <sz val="12"/>
        <rFont val="Times New Roman"/>
        <family val="1"/>
        <charset val="204"/>
      </rPr>
      <t>чисельність ЛЖВ, які отримують АРТ</t>
    </r>
  </si>
  <si>
    <r>
      <t xml:space="preserve">Показник продукту: </t>
    </r>
    <r>
      <rPr>
        <sz val="12"/>
        <rFont val="Times New Roman"/>
        <family val="1"/>
        <charset val="204"/>
      </rPr>
      <t>чисельність ЛЖВ, яким призначено АРТ, осіб</t>
    </r>
  </si>
  <si>
    <r>
      <t xml:space="preserve">Показник якості: </t>
    </r>
    <r>
      <rPr>
        <sz val="12"/>
        <rFont val="Times New Roman"/>
        <family val="1"/>
        <charset val="204"/>
      </rPr>
      <t>динаміка частки людей, які знають свій позитивний ВІЛ-статус, і отримують лікування (відносно базового показника 60,7%)</t>
    </r>
  </si>
  <si>
    <t>Призначення АРТ (базових схем І ряду) лікарями-інфекціоністами за місцем проживання пацієнта</t>
  </si>
  <si>
    <r>
      <t xml:space="preserve">Показник продукту: </t>
    </r>
    <r>
      <rPr>
        <sz val="12"/>
        <rFont val="Times New Roman"/>
        <family val="1"/>
        <charset val="204"/>
      </rPr>
      <t>число ЛЖВ, яким було призначено базові схеми АРТ за місцем проживання, осіб</t>
    </r>
  </si>
  <si>
    <r>
      <t xml:space="preserve">Показник якості: </t>
    </r>
    <r>
      <rPr>
        <sz val="12"/>
        <rFont val="Times New Roman"/>
        <family val="1"/>
        <charset val="204"/>
      </rPr>
      <t>динаміка частки ЛЖВ з числа вперше виявлених, яким призначено АРТ лікарем-інфекціоністом за місцем проживання. Базовий рівень показника – 0%</t>
    </r>
  </si>
  <si>
    <t>Видача антиретровірусних препаратів за місцем проживання пацієнта</t>
  </si>
  <si>
    <r>
      <t xml:space="preserve">Показник продукту: </t>
    </r>
    <r>
      <rPr>
        <sz val="12"/>
        <rFont val="Times New Roman"/>
        <family val="1"/>
        <charset val="204"/>
      </rPr>
      <t>число ЛЖВ, які отримують АРТ за місцем проживання, осіб</t>
    </r>
  </si>
  <si>
    <r>
      <t xml:space="preserve">Показник якості: </t>
    </r>
    <r>
      <rPr>
        <sz val="12"/>
        <rFont val="Times New Roman"/>
        <family val="1"/>
        <charset val="204"/>
      </rPr>
      <t>динаміка частки ЛЖВ, які отримують препарати АРТ за місцем проживання. Базовий рівень показника – 40%</t>
    </r>
  </si>
  <si>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</si>
  <si>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r>
      <t xml:space="preserve">Показник продукту: </t>
    </r>
    <r>
      <rPr>
        <sz val="12"/>
        <rFont val="Times New Roman"/>
        <family val="1"/>
        <charset val="204"/>
      </rPr>
      <t>кількість аптечних закладів та чисельність ЛЖВ, які отримують у них АРВП (моніторинг запровадження)</t>
    </r>
  </si>
  <si>
    <r>
      <t xml:space="preserve">Показник ефективності: </t>
    </r>
    <r>
      <rPr>
        <sz val="12"/>
        <rFont val="Times New Roman"/>
        <family val="1"/>
        <charset val="204"/>
      </rPr>
      <t xml:space="preserve">середня вартість послуг на 1 ЛЖВ на рік для отримання препаратів в аптеці, тис. грн. </t>
    </r>
  </si>
  <si>
    <r>
      <t xml:space="preserve">Показник якості: </t>
    </r>
    <r>
      <rPr>
        <sz val="12"/>
        <rFont val="Times New Roman"/>
        <family val="1"/>
        <charset val="204"/>
      </rPr>
      <t>динамика частки ЛЖВ, які отримують ліки через аптечну мережу, %. Базовий рівень - 0%</t>
    </r>
  </si>
  <si>
    <t>4.4.</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</si>
  <si>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</si>
  <si>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r>
      <t xml:space="preserve">Показник затрат, </t>
    </r>
    <r>
      <rPr>
        <sz val="12"/>
        <rFont val="Times New Roman"/>
        <family val="1"/>
        <charset val="204"/>
      </rPr>
      <t xml:space="preserve">тис. грн. </t>
    </r>
  </si>
  <si>
    <r>
      <t xml:space="preserve">Показник затрат: </t>
    </r>
    <r>
      <rPr>
        <sz val="12"/>
        <rFont val="Times New Roman"/>
        <family val="1"/>
        <charset val="204"/>
      </rPr>
      <t>тис. грн.</t>
    </r>
  </si>
  <si>
    <r>
      <t xml:space="preserve">Показник продукту: </t>
    </r>
    <r>
      <rPr>
        <sz val="12"/>
        <rFont val="Times New Roman"/>
        <family val="1"/>
        <charset val="204"/>
      </rPr>
      <t>кількість ЛЖВ,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</si>
  <si>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1 ЛЖВ, тис. грн.</t>
    </r>
  </si>
  <si>
    <r>
      <t xml:space="preserve">Показник якості: </t>
    </r>
    <r>
      <rPr>
        <sz val="12"/>
        <rFont val="Times New Roman"/>
        <family val="1"/>
        <charset val="204"/>
      </rPr>
      <t>динаміка показника охоплення ЛЖВ, які перебувають під медичним спостереженням, соціальним супроводом відносно базового рівня – 44%</t>
    </r>
  </si>
  <si>
    <r>
      <t>Показник затрат,</t>
    </r>
    <r>
      <rPr>
        <sz val="12"/>
        <rFont val="Times New Roman"/>
        <family val="1"/>
        <charset val="204"/>
      </rPr>
      <t xml:space="preserve"> тис. грн.</t>
    </r>
  </si>
  <si>
    <t>Визначення рівня вірусного навантаження (ВН)</t>
  </si>
  <si>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(МБ)</t>
    </r>
  </si>
  <si>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(ДБ)</t>
    </r>
  </si>
  <si>
    <t>Визначення рівня CD4</t>
  </si>
  <si>
    <t>Біохімічні дослідження крові</t>
  </si>
  <si>
    <t>Діагностика опортуністичних інфекцій при прогресуючій ВІЛ-інфекції</t>
  </si>
  <si>
    <t>Гематологічні дослідження</t>
  </si>
  <si>
    <r>
      <rPr>
        <b/>
        <sz val="12"/>
        <rFont val="Times New Roman"/>
        <family val="1"/>
        <charset val="204"/>
      </rPr>
      <t>Показник продукту</t>
    </r>
    <r>
      <rPr>
        <sz val="12"/>
        <rFont val="Times New Roman"/>
        <family val="1"/>
        <charset val="204"/>
      </rPr>
      <t xml:space="preserve">: чисельність ЛЖВ, у яких визначено рівень CD4, осіб </t>
    </r>
  </si>
  <si>
    <r>
      <rPr>
        <b/>
        <sz val="12"/>
        <rFont val="Times New Roman"/>
        <family val="1"/>
        <charset val="204"/>
      </rPr>
      <t>Показник продукту</t>
    </r>
    <r>
      <rPr>
        <sz val="12"/>
        <rFont val="Times New Roman"/>
        <family val="1"/>
        <charset val="204"/>
      </rPr>
      <t>: чисельність ЛЖВ, яким проведено гематологічні дослідження, осіб</t>
    </r>
  </si>
  <si>
    <r>
      <rPr>
        <b/>
        <sz val="12"/>
        <rFont val="Times New Roman"/>
        <family val="1"/>
        <charset val="204"/>
      </rPr>
      <t>Показник продукту</t>
    </r>
    <r>
      <rPr>
        <sz val="12"/>
        <rFont val="Times New Roman"/>
        <family val="1"/>
        <charset val="204"/>
      </rPr>
      <t>: чисельність ЛЖВ, яким проведено біохімічні дослідження крові, осіб</t>
    </r>
  </si>
  <si>
    <r>
      <rPr>
        <b/>
        <sz val="12"/>
        <rFont val="Times New Roman"/>
        <family val="1"/>
        <charset val="204"/>
      </rPr>
      <t>Показник продукту</t>
    </r>
    <r>
      <rPr>
        <sz val="12"/>
        <rFont val="Times New Roman"/>
        <family val="1"/>
        <charset val="204"/>
      </rPr>
      <t xml:space="preserve">: чисельність ЛЖВ, які охоплені діагностикою опортуністичних інфекцій при прогресуючій ВІЛ-інфекції, осіб </t>
    </r>
  </si>
  <si>
    <r>
      <t xml:space="preserve">Показник ефективності: </t>
    </r>
    <r>
      <rPr>
        <sz val="12"/>
        <rFont val="Times New Roman"/>
        <family val="1"/>
        <charset val="204"/>
      </rPr>
      <t>середня вартість клініко-лабораторного супроводу АРТ на рік 1 ЛЖВ, тис. грн.</t>
    </r>
  </si>
  <si>
    <r>
      <t xml:space="preserve">Показник якості: </t>
    </r>
    <r>
      <rPr>
        <sz val="12"/>
        <rFont val="Times New Roman"/>
        <family val="1"/>
        <charset val="204"/>
      </rPr>
      <t>частка ЛЖВ, у яких досягнуто невизначуваного рівня вірусного навантаження (&lt; 40 РНК копій/мл) відносно базового рівня 85%</t>
    </r>
  </si>
  <si>
    <t xml:space="preserve"> Здійснювати соціальний супровід  ЛЖВ,  груп підвищеного ризику</t>
  </si>
  <si>
    <r>
      <t xml:space="preserve">Показник продукту: </t>
    </r>
    <r>
      <rPr>
        <sz val="12"/>
        <rFont val="Times New Roman"/>
        <family val="1"/>
        <charset val="204"/>
      </rPr>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</si>
  <si>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 xml:space="preserve">Показник якості: </t>
    </r>
    <r>
      <rPr>
        <sz val="12"/>
        <rFont val="Times New Roman"/>
        <family val="1"/>
        <charset val="204"/>
      </rPr>
      <t>динаміка частки ЛЖВ, які утримуються на лікуванні впродовж 12 місяців від початку лікування. Базовий рівень – 85%</t>
    </r>
  </si>
  <si>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</si>
  <si>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 xml:space="preserve">Реалізаціяв Програми за стратегією Fast-Track Cities у місті Києві </t>
  </si>
  <si>
    <r>
      <t xml:space="preserve">Показник продукту: </t>
    </r>
    <r>
      <rPr>
        <sz val="12"/>
        <rFont val="Times New Roman"/>
        <family val="1"/>
        <charset val="204"/>
      </rPr>
      <t xml:space="preserve">кількість розроблених нормативних актів, проектів рішень </t>
    </r>
  </si>
  <si>
    <r>
      <t>Показник ефективності:</t>
    </r>
    <r>
      <rPr>
        <sz val="12"/>
        <rFont val="Times New Roman"/>
        <family val="1"/>
        <charset val="204"/>
      </rPr>
      <t xml:space="preserve"> відсоток прийнятих до виконання нормативних актів або рішень від розроблених</t>
    </r>
  </si>
  <si>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</si>
  <si>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2017-2021</t>
  </si>
  <si>
    <t>2017-2020</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</si>
  <si>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</si>
  <si>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1.4.</t>
  </si>
  <si>
    <t>Реалізація нової моделі профілактичної роботи з метою виходу на важкодоступні ГПР щодо інфікування ВІЛ</t>
  </si>
  <si>
    <t>Здійснити пілотування (2017 р.) та впровадження (2018-2021 рр.) преконтактної профілактики (РгЕР) антиретровірусними препаратами серед ЧСЧ</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</si>
  <si>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</si>
  <si>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2017-2018</t>
  </si>
  <si>
    <t xml:space="preserve">Департамент охорони здоров’я, районні управління охорони здоров’я, ТОВ «Делойт Консалтінг Оверсіз Проджектс» (USAID) </t>
  </si>
  <si>
    <t>Департамент охорони здоров’я,  управління охорони здоров’я районних в місті Києві державних адміністрацій (далі - УОЗ)</t>
  </si>
  <si>
    <t xml:space="preserve">Департамент охорони здоров’я,  НУО </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</si>
  <si>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</si>
  <si>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 xml:space="preserve">Департамент охорони здоров’я, УОЗ, НУО </t>
  </si>
  <si>
    <t xml:space="preserve">Проведення якості досліджень з використанням швидких тестів 
</t>
  </si>
  <si>
    <t xml:space="preserve">Забезпечити навчання медичних працівників навичкам ПТВ, для проведення скринінгу населення на ВІЛ на базі: 
</t>
  </si>
  <si>
    <t xml:space="preserve">Департамент охорони здоров’я, УОЗ </t>
  </si>
  <si>
    <t xml:space="preserve">3. </t>
  </si>
  <si>
    <t>Департамент охорони здоров’я, УОЗ, НУО</t>
  </si>
  <si>
    <t>Залучення до системи медичного нагляду людей, які живуть з ВІЛ  (ЛЖВ)</t>
  </si>
  <si>
    <t>3.1.</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</si>
  <si>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</si>
  <si>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КМЦ СНІДу</t>
  </si>
  <si>
    <t>Соціотерапія</t>
  </si>
  <si>
    <t>МЦК</t>
  </si>
  <si>
    <t>Делойт</t>
  </si>
  <si>
    <t>АHF</t>
  </si>
  <si>
    <t>Здійснення медичного нагляду ЛЖВ лікарем інфекціоністом за місцем проживання</t>
  </si>
  <si>
    <t>4.1.</t>
  </si>
  <si>
    <t xml:space="preserve">Прискорити розширення доступу ЛЖВ до антиретровірусної терапії (АРТ) 
</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</si>
  <si>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</si>
  <si>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</si>
  <si>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Досягнення високої ефективності лікування у людей, які живуть з ВІЛ та отримують антиретровірусну терапію (АРТ)</t>
  </si>
  <si>
    <t xml:space="preserve">Київський  міський центр соціальних служб для дітей, сім’ї і молоді, НУО 
</t>
  </si>
  <si>
    <t>5.2.</t>
  </si>
  <si>
    <t xml:space="preserve">Здійснювати соціальний супровід  ЛЖВ,  груп підвищеного ризику 
</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</si>
  <si>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</si>
  <si>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r>
      <rPr>
        <b/>
        <sz val="12"/>
        <color indexed="8"/>
        <rFont val="Times New Roman"/>
        <family val="1"/>
        <charset val="204"/>
      </rPr>
      <t>Показник якості</t>
    </r>
    <r>
      <rPr>
        <sz val="12"/>
        <color indexed="8"/>
        <rFont val="Times New Roman"/>
        <family val="1"/>
        <charset val="204"/>
      </rPr>
      <t>: зменшення рівня передачі ВІЛ-інфекції від матері до дитини. Базове значення показника – 4,6% (2014 р.)</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</si>
  <si>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</si>
  <si>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rPr>
        <b/>
        <sz val="12"/>
        <rFont val="Times New Roman"/>
        <family val="1"/>
        <charset val="204"/>
      </rPr>
      <t>Показник якості:</t>
    </r>
    <r>
      <rPr>
        <sz val="12"/>
        <rFont val="Times New Roman"/>
        <family val="1"/>
        <charset val="204"/>
      </rPr>
      <t xml:space="preserve"> динаміка кількості закладів охорони здоров’я вторинного та третинного рівня, які здійснюють скринінг населення на ВІЛ, %</t>
    </r>
  </si>
  <si>
    <t>Скринінг населення на ВІЛ із застосуванням швидких тестів запроваджено в усіх ЗОЗ ПМСД</t>
  </si>
  <si>
    <t>Реалізація силами НУО (в рамках реалізації грантових угод міжнрародної технічної допомоги)</t>
  </si>
  <si>
    <r>
      <t xml:space="preserve">Показник якості: </t>
    </r>
    <r>
      <rPr>
        <sz val="12"/>
        <color indexed="8"/>
        <rFont val="Times New Roman"/>
        <family val="1"/>
        <charset val="204"/>
      </rPr>
      <t>збільшення частки осіб з числа ГПР,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</si>
  <si>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 xml:space="preserve">НУО, Київський міський центр соціальних служб для сім’ї, дітей і молоді </t>
  </si>
  <si>
    <t xml:space="preserve">4.2. </t>
  </si>
  <si>
    <t xml:space="preserve">Покращення матеріально-технічної бази кабінетів інфекційних захворювань (КіЗ) </t>
  </si>
  <si>
    <t>Проведення ремонтних робіт</t>
  </si>
  <si>
    <t>Модернізація робочого місця лікаря (ПК, принтер, ліцензоване програмне забезпечення)</t>
  </si>
  <si>
    <r>
      <t>Показник затрат,</t>
    </r>
    <r>
      <rPr>
        <sz val="12"/>
        <rFont val="Times New Roman"/>
        <family val="1"/>
        <charset val="204"/>
      </rPr>
      <t xml:space="preserve"> тис.грн.</t>
    </r>
  </si>
  <si>
    <r>
      <t xml:space="preserve">Показник продукту: </t>
    </r>
    <r>
      <rPr>
        <sz val="12"/>
        <rFont val="Times New Roman"/>
        <family val="1"/>
        <charset val="204"/>
      </rPr>
      <t>кількість модернизованих КіЗів, одиниць</t>
    </r>
  </si>
  <si>
    <r>
      <t>Показник ефективності:</t>
    </r>
    <r>
      <rPr>
        <sz val="12"/>
        <rFont val="Times New Roman"/>
        <family val="1"/>
        <charset val="204"/>
      </rPr>
      <t xml:space="preserve"> середня вартість ремонтних робіт 1 КіЗ, тис. грн.</t>
    </r>
  </si>
  <si>
    <r>
      <t xml:space="preserve">Показник якості: </t>
    </r>
    <r>
      <rPr>
        <sz val="12"/>
        <rFont val="Times New Roman"/>
        <family val="1"/>
        <charset val="204"/>
      </rPr>
      <t>% відремонтованих КіЗ, від запланованого Базовий показник - 0</t>
    </r>
  </si>
  <si>
    <r>
      <t xml:space="preserve">Показник затрат, </t>
    </r>
    <r>
      <rPr>
        <sz val="12"/>
        <rFont val="Times New Roman"/>
        <family val="1"/>
        <charset val="204"/>
      </rPr>
      <t>тис.грн.</t>
    </r>
  </si>
  <si>
    <r>
      <t>Показник продукту:</t>
    </r>
    <r>
      <rPr>
        <sz val="12"/>
        <rFont val="Times New Roman"/>
        <family val="1"/>
        <charset val="204"/>
      </rPr>
      <t xml:space="preserve"> кількість модернизованих КіЗів, одиниць</t>
    </r>
  </si>
  <si>
    <r>
      <t xml:space="preserve">Показник ефективності: </t>
    </r>
    <r>
      <rPr>
        <sz val="12"/>
        <rFont val="Times New Roman"/>
        <family val="1"/>
        <charset val="204"/>
      </rPr>
      <t>середня вартість модернізації 1 робочого місця лікаря-інфекціоніста, тис. грн.</t>
    </r>
  </si>
  <si>
    <r>
      <t xml:space="preserve">Показник якості: </t>
    </r>
    <r>
      <rPr>
        <sz val="12"/>
        <rFont val="Times New Roman"/>
        <family val="1"/>
        <charset val="204"/>
      </rPr>
      <t>% модернізованих КіЗ, від запланованого Базовий показник - 0</t>
    </r>
  </si>
  <si>
    <t xml:space="preserve">Забезпечити клініко-лабораторний моніторинг та оцінку ефективності АРТ (згідно клінічного протоколу) 
</t>
  </si>
  <si>
    <t xml:space="preserve">Департамент охорони здоров’я, Київський міський центр соціальних служб для сім’ї, дітей і молоді </t>
  </si>
  <si>
    <t>Можливло дані є неповними (визначено на підставі звітів НУО)</t>
  </si>
  <si>
    <t>Заходи фінануються в рамках грантових угод</t>
  </si>
  <si>
    <t>Високий показник свідчить про "випадіння" ВІЛ-позитивних осіб на етапі встановлення остаточного діагнозу (не звернулися для взяття під медичний нагляд у разі підтвердження ВІЛ-інфікування), що знижує ефективність заходу в цілому.</t>
  </si>
  <si>
    <t>Охоплено 100% ЛЖВ, які мали показання до обстеження, незалежно від кількості таких осіб</t>
  </si>
  <si>
    <t>Забезпечити профілактику та лікування опортуністичних інфекцій у ЛЖВ</t>
  </si>
  <si>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t>
  </si>
  <si>
    <t>Реалізація заходу не вимагає виділення додаткових коштів</t>
  </si>
  <si>
    <t>Відхилення обумовлено відсутністю суттєвого збільшення під медичним наглядом ЛЖВ</t>
  </si>
  <si>
    <t>Відхилення обумовлено переважно за рахунок економії коштів за результатами торгів</t>
  </si>
  <si>
    <t>Додаток 3</t>
  </si>
  <si>
    <t>до листа КМКЛ №5</t>
  </si>
  <si>
    <t>№________________</t>
  </si>
  <si>
    <t>від _____________________</t>
  </si>
  <si>
    <t>Економія коштів: укладено договір на 1 грн з КП "Фармація"</t>
  </si>
  <si>
    <t>Додаток 2</t>
  </si>
  <si>
    <t>про виконання результативних показників у 2018 році Міської цільової програми протидії епідемії ВІЛ-інфекції</t>
  </si>
  <si>
    <t>1.1.1.людей, які вживають ін'єкційні наркотики (далі - ЛВІН)</t>
  </si>
  <si>
    <t>1.1.2.чоловіків, які мають сексуальні стосунки із чоловіками (далі - ЧСЧ)</t>
  </si>
  <si>
    <t>1.1.3.робітників комерційного сексу (далі - РКС)</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</si>
  <si>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</si>
  <si>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</si>
  <si>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</si>
  <si>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</si>
  <si>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</si>
  <si>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</si>
  <si>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 xml:space="preserve">2.5.1. закладів охорони здоров’я ПМСД 
</t>
  </si>
  <si>
    <t xml:space="preserve">2.5.2. закладів охорони здоров’я вторинного рівня 
</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</si>
  <si>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</si>
  <si>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</si>
  <si>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</si>
  <si>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</si>
  <si>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3.1.5.Скорочення термінів взяття ЛЖВ під медичний нагляд у разі виявлення ВІЛ-інфекції</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</si>
  <si>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</si>
  <si>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</si>
  <si>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</si>
  <si>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</si>
  <si>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</si>
  <si>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</si>
  <si>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</si>
  <si>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</si>
  <si>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</si>
  <si>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</si>
  <si>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</si>
  <si>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</si>
  <si>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</si>
  <si>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4.2.1. Проведення ремонтних робіт</t>
  </si>
  <si>
    <t>4.2.2. Модернізація робочого місця лікаря (ПК, принтер, ліцензоване програмне забезпечення)</t>
  </si>
  <si>
    <t xml:space="preserve">5.1.1. Визначення рівня вірусного навантаження (ВН) 
</t>
  </si>
  <si>
    <t xml:space="preserve">5.1.2. Визначення рівня CD4 
</t>
  </si>
  <si>
    <t xml:space="preserve">5.1.3. Гематологічні дослідження 
</t>
  </si>
  <si>
    <t xml:space="preserve">5.1.4. Біохімічні дослідження крові 
</t>
  </si>
  <si>
    <t xml:space="preserve">5.1.5. Діагностика опортуністичних інфекцій при прогресуючій ВІЛ-інфекції 
</t>
  </si>
  <si>
    <t>Препарати були отримані у IV кварталі 2017 року на суму 163,95 тис. грн.</t>
  </si>
  <si>
    <t>н/д</t>
  </si>
  <si>
    <t>Загалом у м. Києві за І квартал було обстежено 86722 особи, з них 33214 осіб з числа декретованих груп (донори та вагітні жінки). Кількість обстежених з числа цільових груп та загального населення становить 53508 осіб, з них: 27649 осіб обстежено у ЗОЗ та 4180 у Кабінетах Довіри. Порівняно з аналогічним періодом 2017 року кількість обстежених осіб швидкими тестами збільшилась в чотири рази (45372 проти 10981 відповідно).</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</si>
  <si>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1,2%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</si>
  <si>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8864 особи, з них 184 отримали ВІЛ-позитивний результат.</t>
  </si>
  <si>
    <t xml:space="preserve">Скринінг населення на ВІЛ запроваджено в усіх ЗОЗ. Тестування із застосуванням швидких тестів запроваджено у 100% ЗОЗ вторинного та третинного рівня  </t>
  </si>
  <si>
    <t xml:space="preserve">Загалом взято під медичне спостереження 514 людей з ВІЛ/СНІД (431 людина з вперше у житті діагностованою ВІЛ-інфекцією та 83 були переведені) та 49 дітей, народжених ВІЛ-інфікованими матерями на моніторингу. </t>
  </si>
  <si>
    <t xml:space="preserve">Річний показник. </t>
  </si>
  <si>
    <t xml:space="preserve">Річний показник </t>
  </si>
  <si>
    <t xml:space="preserve">За даними попереднього року </t>
  </si>
  <si>
    <t xml:space="preserve">На початок 2018  року отримували антиретровірусну терапію 8313 пацієнтів. З урахуванням 590 осіб, яким призначено лікування у І кварталі, станом на 01.04.2018 року кількість людей, охоплених лікуванням, збільшилась до 8903 осіб. З урахуванням 180 осіб, які з різних причин припинили лікування (вибули, померли), станом на 01.04.2018 року фактично охоплено лікуванням 8723 хворих. </t>
  </si>
  <si>
    <t>Інформація не повна (не надано звіт від НУО)</t>
  </si>
  <si>
    <t>Показник попередній (з числа осіб, які отримують АРТ понад 6 міс., та були обстежені у І кварталі)</t>
  </si>
  <si>
    <r>
      <t>Річний показник. Показник попередній: розрахований на підставі даних, зазначених у звітах НУО: 2573 особи були охоплені послугами мобільної амбулаторій (</t>
    </r>
    <r>
      <rPr>
        <i/>
        <sz val="12"/>
        <color indexed="8"/>
        <rFont val="Times New Roman"/>
        <family val="1"/>
        <charset val="204"/>
      </rPr>
      <t>можливо ці дані є неповними)</t>
    </r>
    <r>
      <rPr>
        <sz val="12"/>
        <color indexed="8"/>
        <rFont val="Times New Roman"/>
        <family val="1"/>
        <charset val="204"/>
      </rPr>
      <t xml:space="preserve">. </t>
    </r>
  </si>
  <si>
    <t>Фактичні витрати у І кварталі 16,94 тис. грн. (за рахунок препаратів, отриманих у 2017 році)</t>
  </si>
  <si>
    <t>Річний показник. Відстуність повної інформації від НУО</t>
  </si>
  <si>
    <t xml:space="preserve">Неповні дані у звітах НУО. За даними сероепідмоніторингу швидкими тестами було виявлено 57 ВІЛ-позитивних статевих партнерів ЛЖВ, з них взято на обблік 16 осіб. </t>
  </si>
  <si>
    <t>Заплановано поступове зменшення частки пацієнтів, які отримують препарати ЗПТ за інші кошти, та розширення доступу до ЗПТ за кошти ДБ:  за І квартал кількість таких пацієнтів зменшилась з 500 до 435.</t>
  </si>
  <si>
    <t>Річний показник. У І кварталі використовувались переважно суміші, що були закуплені у 2017 році.</t>
  </si>
  <si>
    <r>
      <t>Загалом за результатами скринінгу підтверджено ВІЛ-інфекцію у 1049 людей (</t>
    </r>
    <r>
      <rPr>
        <i/>
        <sz val="12"/>
        <rFont val="Times New Roman"/>
        <family val="1"/>
        <charset val="204"/>
      </rPr>
      <t>загалом</t>
    </r>
    <r>
      <rPr>
        <sz val="12"/>
        <rFont val="Times New Roman"/>
        <family val="1"/>
        <charset val="204"/>
      </rPr>
      <t xml:space="preserve"> </t>
    </r>
    <r>
      <rPr>
        <i/>
        <sz val="12"/>
        <rFont val="Times New Roman"/>
        <family val="1"/>
        <charset val="204"/>
      </rPr>
      <t>до лабораторії КМЦ СНІДу надійшло для проведення підтверджувальних досліджень  1428 зразків крові з позитивним результатом тестування на ВІЛ</t>
    </r>
    <r>
      <rPr>
        <sz val="12"/>
        <rFont val="Times New Roman"/>
        <family val="1"/>
        <charset val="204"/>
      </rPr>
      <t>). У 2017 році кількість позитивних результатів становила 758 випадків. Тобто збільшення кількості ВІЛ-позитивних результатів відносно аналогічного періоду 2017 року на 38,4%.</t>
    </r>
  </si>
  <si>
    <r>
      <t>Кількість ЛЖВ, які знають свій статус, збільшилась до 13105 осіб, але впродовж року з різних причин було знято з обліку 155 людей з ВІЛ, у т.ч. 92 особи померли, 63 вибули з Києва. Фактично станом на 01.04.2018 р. на обліку перебуває 12945 осіба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</si>
  <si>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r>
      <t xml:space="preserve">Показник затрат, </t>
    </r>
    <r>
      <rPr>
        <sz val="12"/>
        <rFont val="Times New Roman"/>
        <family val="1"/>
        <charset val="204"/>
      </rPr>
      <t>тис. грн</t>
    </r>
  </si>
  <si>
    <t>Загалом отримали профілактику та лікування у І кварталі 3161 ЛЖВ, з них за кошти бюджету м. Києва 2104 людини.</t>
  </si>
  <si>
    <r>
      <t>Показник продукту:</t>
    </r>
    <r>
      <rPr>
        <sz val="12"/>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</si>
  <si>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rFont val="Times New Roman"/>
        <family val="1"/>
        <charset val="204"/>
      </rPr>
      <t>середні витрати на підвищення кваліфікації лікаря, тис.грн.</t>
    </r>
  </si>
  <si>
    <r>
      <t>Показник якості:</t>
    </r>
    <r>
      <rPr>
        <sz val="12"/>
        <rFont val="Times New Roman"/>
        <family val="1"/>
        <charset val="204"/>
      </rPr>
      <t xml:space="preserve"> динаміка частки лікарів, які пройшли стажування з числа тих, що надають допомогу ЛЖВ. Базовий рівень – 12%</t>
    </r>
  </si>
  <si>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</si>
  <si>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</si>
  <si>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 xml:space="preserve">ТОВ «Делойт Консалтінг Оверсіз Проджектс» (USAID) </t>
  </si>
  <si>
    <t>1.7.3. Реалізація ЗПТ на базі закладів охорони здоров’я, які надають первинну медико-санітарну допомогу</t>
  </si>
  <si>
    <t>1.7.4. Забезпечення препаратами ЗПТ</t>
  </si>
  <si>
    <t>Вик. Бодня 452-68-50, Антоненко 450-96-15</t>
  </si>
  <si>
    <r>
      <rPr>
        <b/>
        <sz val="12"/>
        <color indexed="8"/>
        <rFont val="Times New Roman"/>
        <family val="1"/>
        <charset val="204"/>
      </rPr>
      <t>Показник якості</t>
    </r>
    <r>
      <rPr>
        <sz val="12"/>
        <color indexed="8"/>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</si>
  <si>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Відповідних навчальних заходів не було</t>
  </si>
  <si>
    <t>Обмеження даних: відстуність повної інформації у звітах, наданих від НУО</t>
  </si>
  <si>
    <t xml:space="preserve">Річний показник (станом на дату подання звіту запас препаратів вичерпано, пацієнти забезпечені препаратами ЗПТ, отриманими з інших джерел). Планується закупівля препаратів за кошти бюджету м. Києва у ІІ кварталі. </t>
  </si>
  <si>
    <t>Немає даних для розрахунку індикатора. 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і яким станом на 01.07.2018 року виповниться 18 місяців, коли відбудеться остаточне визначення діагнозу у всіх дітей.</t>
  </si>
  <si>
    <t>Показник буде розрахований на кінець року на підставі інформації у річних звітах НУО.</t>
  </si>
  <si>
    <t>Відсутня інформація у квартальних звітах НУО</t>
  </si>
  <si>
    <t>Показник буде визначений за результатами фактичного виконання заходу впродовж року</t>
  </si>
  <si>
    <t xml:space="preserve">Обмеження в якості даних. У звітах НУО немає чіткого розділення витрат на окремі види товарів чи діяльності.  </t>
  </si>
  <si>
    <t>Річний показник: розраховується на підставі річних звітів НУО.</t>
  </si>
  <si>
    <t>Немає даних для визначення індикатору. Зовінішня оцінки якості відбудеться вродовж року</t>
  </si>
  <si>
    <t>Кошторисом не передбачено, Лист на ДОЗ про перерозподіл № 061/108-270 від 02.02.18</t>
  </si>
  <si>
    <t>Навчання лікарів може бути до кінця року забезпечено в рамках проектів міжнародної технічної підтримки</t>
  </si>
  <si>
    <t>У І кварталі було у централізованому порядку отримано тест-системи та реагенти за кошти Державного бюджету 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</si>
  <si>
    <t>Відсутня потреба в закупівлі на 2018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</si>
  <si>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Річний показник. Станом на 01.04.2018 року значене відхилення фактичного значення обумовлено поступовим впровадженням зазначених заходів в фумовах реформування та децентралізації медичної допомоги ЛЖВ, що потребує відпрацювання маршруту пацієнта з позитивним результатом тестування ВІЛ до лікаря-інфекціоніста</t>
  </si>
  <si>
    <t>Загалом у І кварталі 2018 року до Київського міського центру СНІДу звернулися для взяття на облік 206 ЛЖВ, яких було перенаправлено соціальними працівниками НУО (у І кварталі 2017 року - 170).</t>
  </si>
  <si>
    <t xml:space="preserve">На базі НУО було виявлено вперше 184 особи з позитивним результатом тестування на ВІЛ, з яких 142 направлені до медичного закладу. Високий показник обумовлен перш за все налагодженням зв'язку між НУО та кабінетами Довіри КМЦ СНІДу </t>
  </si>
  <si>
    <t>Результат свідчить про позитивну динаміку в організації роботи за даним напрямком. Наявні ресурси дозволили у повному обсязі забезпечити обстеження на опортуністичні інфекції нових пацієнтів</t>
  </si>
  <si>
    <t>Досягнуто рівень цільового показника. Наявні ресурси дозволили у повному обсязі забезпечити клініко-лабораторне обстеження ЛЖВ при взятті під медичний нагляд</t>
  </si>
  <si>
    <t xml:space="preserve">З урахуванням наявності залишків препаратів з різних джерел, у І кварталі пацієнти у повному були охоплені лікуванням, що перевищило розраховані планові показники </t>
  </si>
  <si>
    <t>З урахуванням хворих, які спостерігаютьсяза місцем проживанням у інфекціоніста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</si>
  <si>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t>
  </si>
  <si>
    <t>Річний показник: розраховується шляхом моніторингу групи ВІЛ-інфікованих та хворих на СНІД осіб, які розпочали АРТ протягом одного року, за якими встановлюється постійне медичне спостереження з метою контролю за ефективністю лікування</t>
  </si>
  <si>
    <t>Обмеження якості даних: відстуність повної інформації у звітах НУО</t>
  </si>
  <si>
    <t xml:space="preserve">У І кварталі підготовлено проект та затверджено наказ Департаменту охорони здоровя (№ 205 від 27.02.2018) </t>
  </si>
  <si>
    <t>З числа виявлених у І кварталі ВІЛ-позитивних осіб (за даними сероепідмоніторингу) 58,9% не звернулися до лікаря інфекціоніста для подальшого обстеження та лікування людей ВІЛ/СНІДу</t>
  </si>
  <si>
    <t>Річний показник (відстуня інформація у звітах партнерських організацій за І квартал)</t>
  </si>
  <si>
    <t>Забезпечені 100% дітей, який перебувають на обліку</t>
  </si>
  <si>
    <t>Інформація про виконання у І півріччі 2018 року Міської цільової програми протидії епідемії  ВІЛ-інфекції на 2017-2021 роки</t>
  </si>
  <si>
    <t>Зниження показника внаслідок економії коштів.</t>
  </si>
  <si>
    <t xml:space="preserve">З розрахунку на 961 пацієнта, які отримують ЗПТ за кошти ДБ та інші кошти. Препаратаи за кошти бюджету м. Києва будуть отримані у ІІІ кварталі поточного року. </t>
  </si>
  <si>
    <t xml:space="preserve">Заплановано поступове зменшення частки пацієнтів, які отримують препарати ЗПТ за інші кошти, та розширення доступу до ЗПТ за кошти ДБ:  за І півріччя кількість таких пацієнтів зменшилась з 500 до 340. За власні кошти ЗПТ отримують 182 особи.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</si>
  <si>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21419 осіб, з яких 592 отримали ВІЛ-позитивний результат.</t>
  </si>
  <si>
    <t>Загалом взято під медичне спостереження 838 людей з ВІЛ/СНІД з вперше у житті діагностованою ВІЛ-інфекцією та 93 дитини, народжених від ВІЛ-інфікованих матерів</t>
  </si>
  <si>
    <t xml:space="preserve">З урахуванням препаратів, які були отримані з різних джерел з різних джерел, пацієнти у повному були охоплені лікуванням, що перевищило прогнозовані показники </t>
  </si>
  <si>
    <t>Загалом отримали профілактику та лікування 5372 ЛЖВ, з них за кошти бюджету м. Києва 1148 осіб.</t>
  </si>
  <si>
    <r>
      <t xml:space="preserve">Показник якості: </t>
    </r>
    <r>
      <rPr>
        <sz val="12"/>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</si>
  <si>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 даними сероепідмоніторингу обстежено 599 статевих партенрів ЛЖВ, з них 486 швидкими тестами. Загалом виявлено  122 ВІЛ-позитивних статевих партнери ЛЖВ, з них 111 залучені до медичного нагляду.</t>
  </si>
  <si>
    <t xml:space="preserve">Цільові заходи фінануються в рамках грантових угод. За кошти бюджету м. Києва - серед загальних витрат на тестування включно. </t>
  </si>
  <si>
    <t xml:space="preserve">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у ІІІ кварталі на підставі оцінки когорти дітей звітного (позаминулого) року - дітей, народжених від ВІЛ-інфікованих матерів у 2016 році </t>
  </si>
  <si>
    <t xml:space="preserve">За даними КМЦ СНІДу профілактикою забезпечені 100% дітей, які народилися від ВІЛ-інфікованих матерів, та встали на облік. Показник має бути уточнений за підсумками 2018 року з урахуванням даних пологових будинків (ф. 63-річна).  </t>
  </si>
  <si>
    <r>
      <rPr>
        <b/>
        <sz val="12"/>
        <rFont val="Times New Roman"/>
        <family val="1"/>
        <charset val="204"/>
      </rPr>
      <t>Показник продукту</t>
    </r>
    <r>
      <rPr>
        <sz val="12"/>
        <rFont val="Times New Roman"/>
        <family val="1"/>
        <charset val="204"/>
      </rPr>
      <t>: кількість людей, які обстежені на ВІЛ-інфекцію</t>
    </r>
  </si>
  <si>
    <r>
      <rPr>
        <b/>
        <sz val="12"/>
        <rFont val="Times New Roman"/>
        <family val="1"/>
        <charset val="204"/>
      </rPr>
      <t>Показник продукту</t>
    </r>
    <r>
      <rPr>
        <sz val="12"/>
        <rFont val="Times New Roman"/>
        <family val="1"/>
        <charset val="204"/>
      </rPr>
      <t xml:space="preserve">: кількість виявлених випадків ВІЛ-інфекції  </t>
    </r>
  </si>
  <si>
    <t>Загалом за результатами скринінгу підтверджено ВІЛ-інфекцію у 1826 людей, з них за кошти бюджету м. Києва 1560 осіб. У І півріччі 2017 року кількість позитивних результатів становила 649 випадків. Тобто наявне збільшення кількості ВІЛ-позитивних результатів відносно аналогічного періоду 2017 року в два рази.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</si>
  <si>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є нижчою за показник ЗОЗ м. Києва і становить 1,1% </t>
  </si>
  <si>
    <t>Показник розрахований на підставі річних звітів НУО.</t>
  </si>
  <si>
    <t>Показник має суттєве відхилення від планового через відставання від темпу виявлення людей з ВІЛ (буде уточнений за підсумками року)</t>
  </si>
  <si>
    <t>Досягнутий результат є кращим відносно І кварталу (41%), однак 49% виявлених осіб не звернулися до лікаря (59% у І кварталі) для подальшого спостереження та лікування людей ВІЛ/СНІДу</t>
  </si>
  <si>
    <r>
      <rPr>
        <b/>
        <sz val="12"/>
        <rFont val="Times New Roman"/>
        <family val="1"/>
        <charset val="204"/>
      </rPr>
      <t>Показник якості</t>
    </r>
    <r>
      <rPr>
        <sz val="12"/>
        <rFont val="Times New Roman"/>
        <family val="1"/>
        <charset val="204"/>
      </rPr>
      <t>: динаміка показника охоплення ЛЖВ від кількості виявлених осіб, %</t>
    </r>
  </si>
  <si>
    <t>Показник має відхилення від планового через відставання від темпу охоплення ЛЖВ медичним наглядом (буде уточнений за підсумками року)</t>
  </si>
  <si>
    <r>
      <rPr>
        <b/>
        <sz val="12"/>
        <rFont val="Times New Roman"/>
        <family val="1"/>
        <charset val="204"/>
      </rPr>
      <t>Показник якості</t>
    </r>
    <r>
      <rPr>
        <sz val="12"/>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</si>
  <si>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 xml:space="preserve">У І півріччі суттєво покращився показник охоплення диспансеризацією осіб з ВІЛ, яких було виявлено під час стаціонарного лікування у міських клінічних лікарнях м. Києва </t>
  </si>
  <si>
    <r>
      <rPr>
        <b/>
        <sz val="12"/>
        <rFont val="Times New Roman"/>
        <family val="1"/>
        <charset val="204"/>
      </rPr>
      <t>Показник продукту</t>
    </r>
    <r>
      <rPr>
        <sz val="12"/>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</si>
  <si>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rFont val="Times New Roman"/>
        <family val="1"/>
        <charset val="204"/>
      </rPr>
      <t>Показник якості:</t>
    </r>
    <r>
      <rPr>
        <sz val="12"/>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</si>
  <si>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Річний показник. Станом на 01.07.2018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6 місяців ЗОЗ (ПМСД, КДЦ) виявлено 204 особи з ВІЛ, 104 були взяті на облік (у т.ч. 23 безпосередньо у КІЗ за місцем проживання - 22% з числа взятих на облік).</t>
  </si>
  <si>
    <t>За даними звітів НУО загалом у І півріччі 2018 року до Київського міського центру СНІДу звернулися для взяття на облік 384 ЛЖВ, яких було перенаправлено соціальними працівниками НУО (у І півріччі 2017 року - 373).</t>
  </si>
  <si>
    <t>За даними наданих звітів НУО за І півріччя (дані є неповними і можуть бути уточнені після звітного періоду)</t>
  </si>
  <si>
    <t xml:space="preserve">На базі НУО було виявлено вперше 592 особи з позитивним результатом тестування на ВІЛ, з яких 384 направлені до медичного закладу. Високий показник обумовлен перш за все налагодженням зв'язку між НУО та кабінетами Довіри КМЦ СНІДу </t>
  </si>
  <si>
    <r>
      <rPr>
        <b/>
        <sz val="12"/>
        <rFont val="Times New Roman"/>
        <family val="1"/>
        <charset val="204"/>
      </rPr>
      <t>Показник якості:</t>
    </r>
    <r>
      <rPr>
        <sz val="12"/>
        <rFont val="Times New Roman"/>
        <family val="1"/>
        <charset val="204"/>
      </rPr>
      <t xml:space="preserve"> динаміка частки ЛЖВ, які звернулися до закладу за направленням НУО. Базовий показник 60%.</t>
    </r>
  </si>
  <si>
    <t xml:space="preserve">Показник визначений на підставі звтів НУО за І півріччя </t>
  </si>
  <si>
    <t>Можливло дані є неповними (визначено на підставі інформації у звітах НУО за І півріччя)</t>
  </si>
  <si>
    <r>
      <t xml:space="preserve">Показник визначений на підставі звтів НУО за І півріччя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</si>
  <si>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І півріччя, у т.ч. за джерелами: </t>
    </r>
    <r>
      <rPr>
        <i/>
        <sz val="12"/>
        <rFont val="Times New Roman"/>
        <family val="1"/>
        <charset val="204"/>
      </rPr>
      <t>ГФ - 4359,69 тис. грн; AHF Ukraine - 794,57 тис. грн.;  313,52 тис. грн. -  Elton John AIDS Foundation</t>
    </r>
  </si>
  <si>
    <r>
      <t xml:space="preserve">Показник визначений на підставі звтів НУО за І півріччя, у т.ч. за джерелами: </t>
    </r>
    <r>
      <rPr>
        <i/>
        <sz val="12"/>
        <rFont val="Times New Roman"/>
        <family val="1"/>
        <charset val="204"/>
      </rPr>
      <t>ГФ - 71,386 тис. грн; AHF Ukraine - 561,264 тис. грн.;  71,352 тис. грн. -  Elton John AIDS Foundation</t>
    </r>
  </si>
  <si>
    <t>Реалізація силами НУО та за рахунок міжнародної технічної допомоги</t>
  </si>
  <si>
    <r>
      <t xml:space="preserve">За даними звітів НУО у І півріччі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</si>
  <si>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t xml:space="preserve">Показник визначений на підставі звтів НУО за І півріччя.  </t>
  </si>
  <si>
    <r>
      <t xml:space="preserve">Можливло дані є неповними (визначено на підставі звітів НУО). </t>
    </r>
    <r>
      <rPr>
        <i/>
        <sz val="12"/>
        <color indexed="8"/>
        <rFont val="Times New Roman"/>
        <family val="1"/>
        <charset val="204"/>
      </rPr>
      <t xml:space="preserve">Фінансування за кошти ГФ. </t>
    </r>
  </si>
  <si>
    <t xml:space="preserve">Річний показник. Показник попередній: розрахований на підставі даних, зазначених у звітах НУО: 3238 осіб були охоплені послугами мобільної амбулаторій </t>
  </si>
  <si>
    <r>
      <t>За даними Альянсу громадського здоровя для забезпечення преконтактної профілактики (РгЕР) серед ЧСЧ у І півріччі обсяг фінансування склав 520,223 тис. грн., у т.ч. АРП на суму 83,616 тис. грн. (</t>
    </r>
    <r>
      <rPr>
        <i/>
        <sz val="12"/>
        <rFont val="Times New Roman"/>
        <family val="1"/>
        <charset val="204"/>
      </rPr>
      <t>PEPFAR</t>
    </r>
    <r>
      <rPr>
        <sz val="12"/>
        <rFont val="Times New Roman"/>
        <family val="1"/>
        <charset val="204"/>
      </rPr>
      <t>)</t>
    </r>
  </si>
  <si>
    <r>
      <t>За даними Альянсу громадського здоровя для забезпечення преконтактної профілактики (РгЕР) антиретровірусними препаратами серед ЧСЧ у І півріччі закуплено АРП на суму 83,616 тис. грн. (</t>
    </r>
    <r>
      <rPr>
        <i/>
        <sz val="12"/>
        <color indexed="8"/>
        <rFont val="Times New Roman"/>
        <family val="1"/>
        <charset val="204"/>
      </rPr>
      <t>PEPFAR</t>
    </r>
    <r>
      <rPr>
        <sz val="12"/>
        <color indexed="8"/>
        <rFont val="Times New Roman"/>
        <family val="1"/>
        <charset val="204"/>
      </rPr>
      <t>)</t>
    </r>
  </si>
  <si>
    <t>Діяльність реалізована у І півріччі 2018 року в рамках пілотного проекту, який був запланований на 2017 рік</t>
  </si>
  <si>
    <r>
      <t xml:space="preserve">Річний показник. Обмеження даних внаслідок неповної інформації від НУО та відстуності цільового фінансування на окремі групи ризику у бюджеті м. Києва </t>
    </r>
    <r>
      <rPr>
        <i/>
        <sz val="12"/>
        <rFont val="Times New Roman"/>
        <family val="1"/>
        <charset val="204"/>
      </rPr>
      <t>(фінансування за кошти ГФ)</t>
    </r>
  </si>
  <si>
    <r>
      <t xml:space="preserve">Проведено закупівлю препаратів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173,78 тис. грн. </t>
    </r>
  </si>
  <si>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виявлено у 235 осіб, з них у 195 пацієнтів вперше у житті, 40 осіб вже перебували раніше на обліку у зв'язку із ВІЛ. </t>
  </si>
  <si>
    <t>Загалом станом на 01.07.2018 року 790 ЛЖВ переведені під нагляд до лікарів-інфекціоністів КІЗ (з числа 13238 ЛЖВ зареєстровані у м. Києві 12304 осіб)</t>
  </si>
  <si>
    <r>
      <t xml:space="preserve">Джерела забезпечення препаратами ЗПТ: </t>
    </r>
    <r>
      <rPr>
        <i/>
        <sz val="12"/>
        <rFont val="Times New Roman"/>
        <family val="1"/>
        <charset val="204"/>
      </rPr>
      <t>1599,73 тис. грн. - ДБ; 354,31 тис. грн. - ГФ)</t>
    </r>
  </si>
  <si>
    <t>Станом на 01.07.2018 року</t>
  </si>
  <si>
    <t>За даними звіту КМКЛ №5 та КМКНЛ "Соціотерапія" станом на 01.07.2018 року</t>
  </si>
  <si>
    <t>За даними звіту КМКЛ №5 та КМКНЛ "Соціотерапія" станом на 01.07.2018 року відносно чисельності осіб, які перебувають на диспансерному обілкув наслідок вживання опіоїдів - 5782.</t>
  </si>
  <si>
    <r>
      <t xml:space="preserve">У І півріччі заходи профінансовані з наступних джерел: </t>
    </r>
    <r>
      <rPr>
        <i/>
        <sz val="12"/>
        <rFont val="Times New Roman"/>
        <family val="1"/>
        <charset val="204"/>
      </rPr>
      <t>1898,33 тис. грн. - ДБ; 726,34 тис. грн. - бюджет м. Києва</t>
    </r>
  </si>
  <si>
    <t>За даними сероепідмоніторингу (ф. 2-ВІЛ/СНІД - квартальна)</t>
  </si>
  <si>
    <t>Станом на 01.07.2018 року кількість дітей, народжених від ВІЛ-інфікованих матерів, віком до 1 року - 156 дітей, 100% з них забезпечені адаптованими молочними сумішами.</t>
  </si>
  <si>
    <r>
      <t xml:space="preserve">Показник розрахований, виходячі з обсягів надходжень адаптованих молочних сумішей, які були закуплені </t>
    </r>
    <r>
      <rPr>
        <i/>
        <sz val="12"/>
        <rFont val="Times New Roman"/>
        <family val="1"/>
        <charset val="204"/>
      </rPr>
      <t>за кошти бюджету м. Києва</t>
    </r>
  </si>
  <si>
    <t>Кількість обстежених з числа цільових груп та загального населення у ЗОЗ та Кабінетах Довіри  м. Києва становить 94796 осіб, з них 61447 швидкими тестами, що більше ніж у три рази перевищує результати використання ШТ за аналогічний період 2017 року (18876). Загальна кількість обстежених на ВІЛ осіб у м. Києві (разом з іншими виконавцями Програми) - 167705 осіб за підсумками І півріччя.</t>
  </si>
  <si>
    <r>
      <t xml:space="preserve">У І півріччі заходи профінансовані з наступних джерел: </t>
    </r>
    <r>
      <rPr>
        <i/>
        <sz val="12"/>
        <rFont val="Times New Roman"/>
        <family val="1"/>
        <charset val="204"/>
      </rPr>
      <t>238,68 тис. грн. - бюджет м. Києва; 320,86 - AHF Ukraine; 4,56 тис. грн. - ГФ; 201,69 тис. грн. - ШТ надійшли в якості благодійної допомоги</t>
    </r>
  </si>
  <si>
    <t>Показник буде визначений за результатами фактичного виконання заходу впродовж року ( з урахуванням ІФА і ШТ). Станом на 01.07.2018 року середня вартість обстеження ШТ при зверненні до амбулаторних закладів 7752 грн., при обстежені у клінічній лікарні - 777 грн.</t>
  </si>
  <si>
    <r>
      <rPr>
        <b/>
        <sz val="12"/>
        <rFont val="Times New Roman"/>
        <family val="1"/>
        <charset val="204"/>
      </rPr>
      <t>Показник ефективності</t>
    </r>
    <r>
      <rPr>
        <sz val="12"/>
        <rFont val="Times New Roman"/>
        <family val="1"/>
        <charset val="204"/>
      </rPr>
      <t>: середня вартість виявлення 1 ЛЖВ у ЗОЗ, тис. грн.</t>
    </r>
  </si>
  <si>
    <r>
      <rPr>
        <b/>
        <sz val="12"/>
        <rFont val="Times New Roman"/>
        <family val="1"/>
        <charset val="204"/>
      </rPr>
      <t>Показник якості</t>
    </r>
    <r>
      <rPr>
        <sz val="12"/>
        <rFont val="Times New Roman"/>
        <family val="1"/>
        <charset val="204"/>
      </rPr>
      <t>: динаміка частки ЛЖВ, які знають свій ВІЛ-статус від оціночної чисельності ЛЖВ, відносно базового рівня - 47%</t>
    </r>
  </si>
  <si>
    <r>
      <t>Кількість ЛЖВ, які знають свій статус, становить 13237 осіб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</si>
  <si>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t>Підготовлено проект наказу проведення міського дня тестування  на ВІЛ-інфекцію</t>
  </si>
  <si>
    <t>Обмеження в якості даних. У звітах НУО немає чіткого розділення витрат на окремі види товарів чи діяльності.  Показник має бути уточненй на підставі річних звітів з деталізацією витрат на ШТ</t>
  </si>
  <si>
    <t xml:space="preserve">Немає даних для визначення індикатору. </t>
  </si>
  <si>
    <t xml:space="preserve">Немає даних щодо витрат для визначення індикатору. </t>
  </si>
  <si>
    <t>Навчання лікарів проведено силами епідвідділу на безкоштовній основі</t>
  </si>
  <si>
    <r>
      <t xml:space="preserve">У І півріччі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</si>
  <si>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i/>
        <sz val="12"/>
        <rFont val="Times New Roman"/>
        <family val="1"/>
        <charset val="204"/>
      </rPr>
      <t>Відсутня потреба в закупівлі на 2018 рік</t>
    </r>
    <r>
      <rPr>
        <sz val="12"/>
        <rFont val="Times New Roman"/>
        <family val="1"/>
        <charset val="204"/>
      </rPr>
      <t xml:space="preserve">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r>
  </si>
  <si>
    <t xml:space="preserve">Інновація запроваджувалась у 2017 році. На сьгодні лише 107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</si>
  <si>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 даними звіту за І півріччя 2018 року</t>
  </si>
  <si>
    <r>
      <t xml:space="preserve">У І півріччі заходи профінансовані з наступних джерел: </t>
    </r>
    <r>
      <rPr>
        <i/>
        <sz val="12"/>
        <rFont val="Times New Roman"/>
        <family val="1"/>
        <charset val="204"/>
      </rPr>
      <t>250,19 тис. грн. - AHF Ukraine; 2144,12 тис. грн. - ГФ; 600,28 тис. грн. - CDC</t>
    </r>
  </si>
  <si>
    <r>
      <t xml:space="preserve">У І півріччі заходи профінансовані з наступних джерел: </t>
    </r>
    <r>
      <rPr>
        <i/>
        <sz val="12"/>
        <rFont val="Times New Roman"/>
        <family val="1"/>
        <charset val="204"/>
      </rPr>
      <t>163,60 тис. грн. - Elton John AIDS Foundation; 1098,8 тис. грн. - ГФ; 130,17 тис. грн. - CDC</t>
    </r>
  </si>
  <si>
    <t>Тест-системи та реактики надійшли в якості благодійної допомоги</t>
  </si>
  <si>
    <t>Показник буде визначений за підсумками фінансування (витрат) за 2018 рік</t>
  </si>
  <si>
    <t>Хоча не досягнуто цільового показника, наявні ресурси дозволили у повному обсязі забезпечити клініко-лабораторне обстеження ЛЖВ при взятті під медичний нагляд</t>
  </si>
  <si>
    <r>
      <t xml:space="preserve">У І півріччі заходи профінансовані з наступних джерел: </t>
    </r>
    <r>
      <rPr>
        <i/>
        <sz val="12"/>
        <rFont val="Times New Roman"/>
        <family val="1"/>
        <charset val="204"/>
      </rPr>
      <t>127,61 тис. грн. - кошти бюджету м. Києва, 88,22 тис. грн. - отримані за кошти бюджету м. Києва 2017 року; 127,78 тис грн. - PEPFAR; 228,42 тис. грн. - кошти з інших джерел (у якості благодійної допомоги)</t>
    </r>
  </si>
  <si>
    <r>
      <t xml:space="preserve">У І півріччі заходи профінансовані з наступних джерел: </t>
    </r>
    <r>
      <rPr>
        <i/>
        <sz val="12"/>
        <rFont val="Times New Roman"/>
        <family val="1"/>
        <charset val="204"/>
      </rPr>
      <t xml:space="preserve">104,67 тис. грн. - AHF Ukraine; 36,12 тис. грн. - ГФ; 7,37 тис. грн. - інші кошти (не програмні кошти МБ)  </t>
    </r>
  </si>
  <si>
    <t>Охоплено 100% ЛЖВ, які мали показання до профілактики, незалежно від кількості таких осіб</t>
  </si>
  <si>
    <t>Дані щодо фінансування відсутні</t>
  </si>
  <si>
    <t>Дані для визначення показника відсутні</t>
  </si>
  <si>
    <t xml:space="preserve">У І півріччі призначено АРТ 1046 ЛЖВ. Станом на 01.07.2018 року фактично охоплено лікуванням 9072 хворих. </t>
  </si>
  <si>
    <t>Невиконання показника по набору пацієнтів на АРТ обумовлено відставанням у темпах виявлення і взяття під медичний нагляд ЛЖВ</t>
  </si>
  <si>
    <t>Зниження показника внаслідок економії коштів (зниження вартості препаратів для АРТ).</t>
  </si>
  <si>
    <r>
      <t xml:space="preserve">У І півріччі заходи профінансовані з наступних джерел: </t>
    </r>
    <r>
      <rPr>
        <i/>
        <sz val="12"/>
        <rFont val="Times New Roman"/>
        <family val="1"/>
        <charset val="204"/>
      </rPr>
      <t xml:space="preserve">17096,38 тис. грн. - ДБ; 7060,68 тис. грн. - ГФ; 2204,57 тис. грн. - PEPFAR; 32,89 тис. грн. - Благодійна організація "Фонд Олени Пінчук "АНТИСНІД"; 3177,07 тис. грн.- з інших джерел (у якості благодійної допомоги).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</si>
  <si>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t>Невиконання показника обумовлено складністю залучення до АРТ пацієнтів, які довгий час знають про свій статус і не мотивовані до початку АРТ</t>
  </si>
  <si>
    <t>Відхилення обумовлено низьким темпом виявлення людей з ВІЛ у ЗОЗ і втратою пацієнтів на етапі залучення до медичного нагляду</t>
  </si>
  <si>
    <t>Відхилення обумовлено тим, що лікарі-інфекціоністи самостійно признчають АРТ тільки ЛЖВ, яких виявлено на І-ІІ стадіях хвороби. Більш важкі пацієнти направляються на обстеження і лікування до КМЦ СНІДу</t>
  </si>
  <si>
    <t xml:space="preserve">Відхилення показника обумовлено відставання у наборі пацієнтів на лікування. Станом на 01.07.2018 року на базі КІЗ отримують АРТ 790 ЛЖВ, на базі аптечних закладів - 584 </t>
  </si>
  <si>
    <t>Показник розрахований без урахування ЛЖВ, які отримують АРТ у інфекціоністів на базі кабінетів Довіри КМЦ СНІДу. 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</si>
  <si>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 Оголошно закупівлю UA-2018-06-08-002508-a</t>
  </si>
  <si>
    <t>Заплановано виконання на ІІ півріччя</t>
  </si>
  <si>
    <t>На сьогодні визначені 12 аптечних закладів</t>
  </si>
  <si>
    <t xml:space="preserve">Переведення пацієнтів на обслуговування до аптек відбувається за їх згодою. Наразі процес налажується </t>
  </si>
  <si>
    <r>
      <t xml:space="preserve">У І півріччі заходи профінансовані з наступних джерел: </t>
    </r>
    <r>
      <rPr>
        <i/>
        <sz val="12"/>
        <rFont val="Times New Roman"/>
        <family val="1"/>
        <charset val="204"/>
      </rPr>
      <t xml:space="preserve">190,29 тис. грн. - ГФ; 401,83 тис. грн. - CDC; 165,476 тис. грн. - Solidarite SIDA; 1176,922 тис. грн.- з інших джерел (кошти МБ через Департамент соціальної політики). </t>
    </r>
  </si>
  <si>
    <t>На підставі звітів НУО за І півріччя</t>
  </si>
  <si>
    <t xml:space="preserve">Значення показника визначено на підставі звітів НУО та Київського міського центру соціальних служб для сім'ї, дітей і молоді за І півріччя. </t>
  </si>
  <si>
    <r>
      <t xml:space="preserve">У І півріччі заходи профінансовані з наступних джерел: </t>
    </r>
    <r>
      <rPr>
        <i/>
        <sz val="12"/>
        <rFont val="Times New Roman"/>
        <family val="1"/>
        <charset val="204"/>
      </rPr>
      <t xml:space="preserve">10377,44 тис. грн. - ДБ; 2706,83 тис. грн. - PEPFAR; 196,05 тис. грн.- з інших джерел (кошти МБ через Департамент соціальної політики). </t>
    </r>
    <r>
      <rPr>
        <sz val="12"/>
        <rFont val="Times New Roman"/>
        <family val="1"/>
        <charset val="204"/>
      </rPr>
      <t>Вдіхилення від цільового показника обумовлено відставанням від прогнозованого темпу реалізації програми</t>
    </r>
  </si>
  <si>
    <t>Вдіхилення від цільового показника обумовлено відставанням від прогнозованого темпу реалізації програми</t>
  </si>
  <si>
    <t>Показник попередній (з числа осіб, які отримують АРТ понад 6 міс., та були обстежені у І півріччі)</t>
  </si>
  <si>
    <t>За даними звітів НУО за І півріччя</t>
  </si>
  <si>
    <r>
      <t>Підготовлено проект та затверджено наказ Департаменту охорони здоровя (№ 205 від 27.02.2018 р.), рішення засідання Координаційної ради; 2 протоколи доручень  (</t>
    </r>
    <r>
      <rPr>
        <i/>
        <sz val="12"/>
        <rFont val="Times New Roman"/>
        <family val="1"/>
        <charset val="204"/>
      </rPr>
      <t>потребує уточнення у ДОЗ</t>
    </r>
    <r>
      <rPr>
        <sz val="12"/>
        <rFont val="Times New Roman"/>
        <family val="1"/>
        <charset val="204"/>
      </rPr>
      <t>)</t>
    </r>
  </si>
  <si>
    <t xml:space="preserve">Показник визначений на підставі звітів НУО за 9 місяців </t>
  </si>
  <si>
    <t>Показник визначений на підставі звітів НУО за 9 місяців</t>
  </si>
  <si>
    <r>
      <t xml:space="preserve">Показник визначений на підставі звітів НУО за 9 місяців (100% </t>
    </r>
    <r>
      <rPr>
        <i/>
        <sz val="12"/>
        <color indexed="10"/>
        <rFont val="Times New Roman"/>
        <family val="1"/>
        <charset val="204"/>
      </rPr>
      <t>кошти ГФ</t>
    </r>
    <r>
      <rPr>
        <sz val="12"/>
        <color indexed="10"/>
        <rFont val="Times New Roman"/>
        <family val="1"/>
        <charset val="204"/>
      </rPr>
      <t>)</t>
    </r>
  </si>
  <si>
    <t>Інформація про виконання за 9 місяців 2018 року Міської цільової програми протидії епідемії  ВІЛ-інфекції на 2017-2021 роки</t>
  </si>
  <si>
    <t>Станом на 01.10.2018 року</t>
  </si>
  <si>
    <t>Діяльність реалізована за 9 місяців 2018 року в рамках пілотного проекту, який був запланований на 2017 рік</t>
  </si>
  <si>
    <t>А.О. Бодня</t>
  </si>
  <si>
    <t xml:space="preserve">В.о. головного лікаря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</si>
  <si>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</si>
  <si>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</si>
  <si>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</si>
  <si>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Реалізація силами НУО та за рахунок міжнародної технічної допомоги за 9 місяців 2018 року</t>
  </si>
  <si>
    <t>За даними звіту КМКЛ №5 та КМКНЛ "Соціотерапія" станом на 01.10.2018 року</t>
  </si>
  <si>
    <t>За даними звіту КМКЛ №5 та КМКНЛ "Соціотерапія" станом на 01.10.2018 року відносно чисельності осіб, які перебувають на диспансерному обілкув наслідок вживання опіоїдів - 5782.</t>
  </si>
  <si>
    <t>Відхилення від цільового показника обумовлено відставанням від прогнозованого темпу реалізації програми</t>
  </si>
  <si>
    <t>Кошторисом не передбачено, Лист на ДОЗ про перерозподіл № 061/108-270 від 02.02.2018 року</t>
  </si>
  <si>
    <t>Станом на 01.10.2018 року кількість дітей, народжених від ВІЛ-інфікованих матерів, віком до 1 року - 163 дітей, 100% з них забезпечені адаптованими молочними сумішами.</t>
  </si>
  <si>
    <t>За 9 міс. 2018 року призначено АРТ 1685 ЛЖВ.</t>
  </si>
  <si>
    <t xml:space="preserve">Відхилення показника обумовлено відставання у наборі пацієнтів на лікування. Станом на 01.10.2018 року на базі КІЗ отримують АРТ 949 ЛЖВ, на базі аптечних закладів - 605 </t>
  </si>
  <si>
    <t xml:space="preserve">Показник розрахований без урахування ЛЖВ, які отримують АРТ у інфекціоністів на базі кабінетів Довіри КМЦ СНІДу. </t>
  </si>
  <si>
    <t>В.о. головного лікаря</t>
  </si>
  <si>
    <t>А. Бодня</t>
  </si>
  <si>
    <t>Вик.: Загоровський, 450-45-50</t>
  </si>
  <si>
    <t>Вик.: Загоровський 450-45-50</t>
  </si>
  <si>
    <t>З числа осіб, які отримують АРТ понад 6 міс., та були обстежені за 9 міс. 2018 р.)</t>
  </si>
  <si>
    <t xml:space="preserve">Показник має суттєве відхилення від планового тому, що  лабораторне підтвердження ВІЛ-інфекції за кошти бюджету м. Києва не проводиться (тест-системи не закуповувалися), а проводиться за кошти Державного бюджету (тест-систем в достатній кількості). </t>
  </si>
  <si>
    <t xml:space="preserve">Інновація запроваджувалась у 2017 році. На сьгодні лише 166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</si>
  <si>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Загалом станом на 01.10.2018 року 936 ЛЖВ переведені під нагляд до лікарів-інфекціоністів КІЗ (з числа 13822 ЛЖВ зареєстровані у м. Києві 12354 осіб)</t>
  </si>
  <si>
    <t xml:space="preserve">Річний показник. 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t>
  </si>
  <si>
    <t xml:space="preserve">Заплановано поступове зменшення частки пацієнтів, які отримують препарати ЗПТ за інші кошти, та розширення доступу до ЗПТ за кошти ДБ:  за 9 міс. 2018 року кількість таких пацієнтів зменшилась з 500 до 348. За власні кошти ЗПТ отримують 133 особи. </t>
  </si>
  <si>
    <t xml:space="preserve">З розрахунку на 961 пацієнта, які отримують ЗПТ за кошти ДБ та інші кошти. Препарати за кошти бюджету м. Києва будуть отримані у ІІІ кварталі поточного року. </t>
  </si>
  <si>
    <t xml:space="preserve">Річний показник. Показник попередній: розрахований на підставі даних, зазначених у звітах НУО: 6814 осіб були охоплені послугами мобільної амбулаторій </t>
  </si>
  <si>
    <t>Річний показник (відстуня інформація у звітах партнерських організацій за 9 міс. 2018 року)</t>
  </si>
  <si>
    <t>Загалом взято під медичне спостереження 1407 людей з ВІЛ/СНІД з вперше у житті діагностованою ВІЛ-інфекцією та 144 дитини, народжених від ВІЛ-інфікованих матерів</t>
  </si>
  <si>
    <t>За даними звіту за 9 міс. 2018 року</t>
  </si>
  <si>
    <t>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до ВІЛ виявлено у 608 осіб, з них 295 пацієнтів стали на облік.</t>
  </si>
  <si>
    <t xml:space="preserve">Всього кількість обстежених в м. Києві за 9 міс.2018 року становить 218248 осіб, з них у ЗОЗ та Кабінетах Довіри  - 80774 осіб </t>
  </si>
  <si>
    <t>За даними сероепідмоніторингу обстежено 1206 статевих партенрів ЛЖВ, з них 1048 швидкими тестами. Загалом виявлено  180 ВІЛ-позитивних статевих партнери ЛЖВ, з них 132 залучені до медичного нагляду.</t>
  </si>
  <si>
    <t xml:space="preserve">Показник буде визначений за результатами фактичного виконання заходу впродовж року ( з урахуванням ІФА і ШТ). </t>
  </si>
  <si>
    <t xml:space="preserve">Загалом за результатами скринінгу виявлено антитіла до ВІЛ у 2845 людей, з них у ЗОЗ та Кабінетах Довіри 1775 осіб. </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</si>
  <si>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1,3% (згідно таблиці 1000 ф. 2-ВІЛ/СНІД - квартальна) </t>
  </si>
  <si>
    <t>Показник за І півріччя 2018 року (за відсутністю даних по вперше діагностованим з ВІЛ)</t>
  </si>
  <si>
    <t>Досягнутий результат є кращим відносно І кварталу (41%), однак 50,5% виявлених осіб не звернулися до лікаря для подальшого спостереження та лікування людей ВІЛ/СНІДу</t>
  </si>
  <si>
    <t>Річний показник. Станом на 01.10.2018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9 місяців ЗОЗ (ПМСД, КДЦ) виявлено 247 осіб з ВІЛ, 150 були взяті на облік (у т.ч. 39 безпосередньо у КІЗ за місцем проживання - 26% з числа взятих на облік).</t>
  </si>
  <si>
    <t>Загалом отримали профілактику та лікування 3386 ЛЖВ, з них за кошти бюджету м. Києва 1562 осіб.</t>
  </si>
  <si>
    <t xml:space="preserve">Значення показника визначено на підставі звітів НУО та Київського міського центру соціальних служб для сім'ї, дітей і молоді за 9 місяців. </t>
  </si>
  <si>
    <t>На підставі звітів НУО та Київського міського центру соціальних служб для сім'ї, дітей і молоді за 9 міс. 2018 р.</t>
  </si>
  <si>
    <t>На підставі програмних звітів НУО та Київського міського центру соціальних служб для сім'ї, дітей і молоді за 9 міс. 2018 р.</t>
  </si>
  <si>
    <t>За даними прозвітів НУО за 9 міс.2018 р. Всі вперше виявлені особи з ВІЛ охоплені соціальним супроводом</t>
  </si>
  <si>
    <r>
      <t xml:space="preserve">Показник визначений на підставі звітів НУО за 9 місяців 2018 року (100% </t>
    </r>
    <r>
      <rPr>
        <i/>
        <sz val="12"/>
        <rFont val="Times New Roman"/>
        <family val="1"/>
        <charset val="204"/>
      </rPr>
      <t>кошти ГФ</t>
    </r>
    <r>
      <rPr>
        <sz val="12"/>
        <rFont val="Times New Roman"/>
        <family val="1"/>
        <charset val="204"/>
      </rPr>
      <t>)</t>
    </r>
  </si>
  <si>
    <r>
      <t>Показник продукту:</t>
    </r>
    <r>
      <rPr>
        <sz val="12"/>
        <rFont val="Times New Roman"/>
        <family val="1"/>
        <charset val="204"/>
      </rPr>
      <t xml:space="preserve"> кількість ЛВІН,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</si>
  <si>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ЛВІН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</si>
  <si>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ЛВІН, які охоплені послугами з профілактики ВІЛ відносно базового показника – 50% від оціночної чисельності (%)</t>
    </r>
  </si>
  <si>
    <r>
      <t xml:space="preserve">Показник визначений на підставі звітів НУО за 9 місяців 2018 року, у т.ч. за джерелами: </t>
    </r>
    <r>
      <rPr>
        <i/>
        <sz val="12"/>
        <rFont val="Times New Roman"/>
        <family val="1"/>
        <charset val="204"/>
      </rPr>
      <t>ГФ - 7 084,76 тис. грн; 918,0 тис. грн. -  Elton John AIDS Foundation</t>
    </r>
  </si>
  <si>
    <r>
      <t>Показник продукту:</t>
    </r>
    <r>
      <rPr>
        <sz val="12"/>
        <rFont val="Times New Roman"/>
        <family val="1"/>
        <charset val="204"/>
      </rPr>
      <t xml:space="preserve"> кількість ЧСЧ,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</si>
  <si>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ЧСЧ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</si>
  <si>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ЧСЧ, які охоплені послугами з профілактики ВІЛ відносно базового показника – 58% від оціночної чисельності (%)</t>
    </r>
  </si>
  <si>
    <r>
      <t xml:space="preserve">Показник визначений на підставі звітів НУО за 9 місяців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</si>
  <si>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9 місяців 2018 року, у т.ч. за джерелами: </t>
    </r>
    <r>
      <rPr>
        <i/>
        <sz val="12"/>
        <rFont val="Times New Roman"/>
        <family val="1"/>
        <charset val="204"/>
      </rPr>
      <t>ГФ - 1 218,61 тис. грн; 272,0 тис. грн. -  Elton John AIDS Foundation</t>
    </r>
  </si>
  <si>
    <r>
      <t xml:space="preserve">Показник якості: </t>
    </r>
    <r>
      <rPr>
        <sz val="12"/>
        <rFont val="Times New Roman"/>
        <family val="1"/>
        <charset val="204"/>
      </rPr>
      <t>відсоток охоплення</t>
    </r>
    <r>
      <rPr>
        <b/>
        <sz val="12"/>
        <rFont val="Times New Roman"/>
        <family val="1"/>
        <charset val="204"/>
      </rPr>
      <t xml:space="preserve"> </t>
    </r>
    <r>
      <rPr>
        <sz val="12"/>
        <rFont val="Times New Roman"/>
        <family val="1"/>
        <charset val="204"/>
      </rPr>
      <t>ГПР інформаційними матеріалами</t>
    </r>
    <r>
      <rPr>
        <b/>
        <sz val="12"/>
        <rFont val="Times New Roman"/>
        <family val="1"/>
        <charset val="204"/>
      </rPr>
      <t xml:space="preserve"> з </t>
    </r>
    <r>
      <rPr>
        <sz val="12"/>
        <rFont val="Times New Roman"/>
        <family val="1"/>
        <charset val="204"/>
      </rPr>
      <t>питань запобігання інфікування ВІЛ (%)</t>
    </r>
  </si>
  <si>
    <r>
      <t>Показник продукту:</t>
    </r>
    <r>
      <rPr>
        <sz val="12"/>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</si>
  <si>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За даними звітів НУО за 9 місяців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</si>
  <si>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r>
      <t xml:space="preserve">Показник якості: </t>
    </r>
    <r>
      <rPr>
        <sz val="12"/>
        <rFont val="Times New Roman"/>
        <family val="1"/>
        <charset val="204"/>
      </rPr>
      <t>збільшення частки осіб з числа ГПР, які охоплені профілактичними послугами</t>
    </r>
    <r>
      <rPr>
        <b/>
        <sz val="12"/>
        <rFont val="Times New Roman"/>
        <family val="1"/>
        <charset val="204"/>
      </rPr>
      <t xml:space="preserve"> з </t>
    </r>
    <r>
      <rPr>
        <sz val="12"/>
        <rFont val="Times New Roman"/>
        <family val="1"/>
        <charset val="204"/>
      </rPr>
      <t>питань ВІЛ (%)</t>
    </r>
  </si>
  <si>
    <r>
      <t xml:space="preserve">Показник визначений на підставі звітів НУО за 9 місяців 2018 року. </t>
    </r>
    <r>
      <rPr>
        <i/>
        <sz val="12"/>
        <rFont val="Times New Roman"/>
        <family val="1"/>
        <charset val="204"/>
      </rPr>
      <t xml:space="preserve">Фінансування за кошти ГФ. </t>
    </r>
  </si>
  <si>
    <r>
      <t>Показник продукту:</t>
    </r>
    <r>
      <rPr>
        <sz val="12"/>
        <rFont val="Times New Roman"/>
        <family val="1"/>
        <charset val="204"/>
      </rPr>
      <t xml:space="preserve"> кількість ЧСЧ, які отримали преконтактну профілактику  (</t>
    </r>
    <r>
      <rPr>
        <i/>
        <sz val="12"/>
        <rFont val="Times New Roman"/>
        <family val="1"/>
        <charset val="204"/>
      </rPr>
      <t>в рамках пілоту</t>
    </r>
    <r>
      <rPr>
        <sz val="12"/>
        <rFont val="Times New Roman"/>
        <family val="1"/>
        <charset val="204"/>
      </rPr>
      <t>)</t>
    </r>
  </si>
  <si>
    <r>
      <t>Показник ефективності</t>
    </r>
    <r>
      <rPr>
        <sz val="12"/>
        <rFont val="Times New Roman"/>
        <family val="1"/>
        <charset val="204"/>
      </rPr>
      <t>: витрати на проведення 1 курсу преконтактної профілактики, тис. грн.</t>
    </r>
  </si>
  <si>
    <r>
      <t>За даними Альянсу громадського здоровя для забезпечення преконтактної профілактики (РгЕР) антиретровірусними препаратами серед ЧСЧ за 9 місяців 2018 року закуплено АРП на суму 83,616 тис. грн. (</t>
    </r>
    <r>
      <rPr>
        <i/>
        <sz val="12"/>
        <rFont val="Times New Roman"/>
        <family val="1"/>
        <charset val="204"/>
      </rPr>
      <t>PEPFAR</t>
    </r>
    <r>
      <rPr>
        <sz val="12"/>
        <rFont val="Times New Roman"/>
        <family val="1"/>
        <charset val="204"/>
      </rPr>
      <t>)</t>
    </r>
  </si>
  <si>
    <r>
      <t>Показник якості:</t>
    </r>
    <r>
      <rPr>
        <sz val="12"/>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</si>
  <si>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r>
      <t xml:space="preserve">Показник продукту: </t>
    </r>
    <r>
      <rPr>
        <sz val="12"/>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</si>
  <si>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</si>
  <si>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</si>
  <si>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t xml:space="preserve">Джерела забезпечення препаратами ЗПТ: </t>
    </r>
    <r>
      <rPr>
        <i/>
        <sz val="12"/>
        <rFont val="Times New Roman"/>
        <family val="1"/>
        <charset val="204"/>
      </rPr>
      <t>1010,06 тис. грн. - ДБ; 1178,19 тис. грн. - ГФ)</t>
    </r>
  </si>
  <si>
    <r>
      <t>За 9 міс. 2018 року заходи профінансовані з наступних джерел: 2773,98</t>
    </r>
    <r>
      <rPr>
        <i/>
        <sz val="12"/>
        <rFont val="Times New Roman"/>
        <family val="1"/>
        <charset val="204"/>
      </rPr>
      <t xml:space="preserve"> тис. грн. - ДБ; 798,34 тис. грн. - бюджет м. Києва</t>
    </r>
  </si>
  <si>
    <r>
      <t>Показник продукту:</t>
    </r>
    <r>
      <rPr>
        <sz val="12"/>
        <rFont val="Times New Roman"/>
        <family val="1"/>
        <charset val="204"/>
      </rPr>
      <t xml:space="preserve"> кількість</t>
    </r>
    <r>
      <rPr>
        <b/>
        <sz val="12"/>
        <rFont val="Times New Roman"/>
        <family val="1"/>
        <charset val="204"/>
      </rPr>
      <t xml:space="preserve"> </t>
    </r>
    <r>
      <rPr>
        <sz val="12"/>
        <rFont val="Times New Roman"/>
        <family val="1"/>
        <charset val="204"/>
      </rPr>
      <t>вагітних</t>
    </r>
    <r>
      <rPr>
        <b/>
        <sz val="12"/>
        <rFont val="Times New Roman"/>
        <family val="1"/>
        <charset val="204"/>
      </rPr>
      <t xml:space="preserve"> </t>
    </r>
    <r>
      <rPr>
        <sz val="12"/>
        <rFont val="Times New Roman"/>
        <family val="1"/>
        <charset val="204"/>
      </rPr>
      <t>жінок, охоплених обстеженням на ВІЛ-інфекцію, осіб</t>
    </r>
  </si>
  <si>
    <r>
      <rPr>
        <b/>
        <sz val="12"/>
        <rFont val="Times New Roman"/>
        <family val="1"/>
        <charset val="204"/>
      </rPr>
      <t>Показник продукту:</t>
    </r>
    <r>
      <rPr>
        <sz val="12"/>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</si>
  <si>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rFont val="Times New Roman"/>
        <family val="1"/>
        <charset val="204"/>
      </rPr>
      <t>Показник ефективності</t>
    </r>
    <r>
      <rPr>
        <sz val="12"/>
        <rFont val="Times New Roman"/>
        <family val="1"/>
        <charset val="204"/>
      </rPr>
      <t>: вартість вигодування 1 дитини, народженої від ВІЛ-інфікованої жінки на рік, тис. грн.</t>
    </r>
  </si>
  <si>
    <r>
      <rPr>
        <b/>
        <sz val="12"/>
        <rFont val="Times New Roman"/>
        <family val="1"/>
        <charset val="204"/>
      </rPr>
      <t>Показник продукту</t>
    </r>
    <r>
      <rPr>
        <sz val="12"/>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</si>
  <si>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r>
      <rPr>
        <b/>
        <sz val="12"/>
        <rFont val="Times New Roman"/>
        <family val="1"/>
        <charset val="204"/>
      </rPr>
      <t>Показник якості</t>
    </r>
    <r>
      <rPr>
        <sz val="12"/>
        <rFont val="Times New Roman"/>
        <family val="1"/>
        <charset val="204"/>
      </rPr>
      <t>: зменшення рівня передачі ВІЛ-інфекції від матері до дитини. Базове значення показника – 4,6% (2014 р.)</t>
    </r>
  </si>
  <si>
    <r>
      <t>Показник продукту:</t>
    </r>
    <r>
      <rPr>
        <sz val="12"/>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</si>
  <si>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t xml:space="preserve">Показник ефективності: </t>
    </r>
    <r>
      <rPr>
        <sz val="12"/>
        <rFont val="Times New Roman"/>
        <family val="1"/>
        <charset val="204"/>
      </rPr>
      <t>витрати на проведення навчання на рік, тис. грн.</t>
    </r>
  </si>
  <si>
    <r>
      <t xml:space="preserve">Показник якості: </t>
    </r>
    <r>
      <rPr>
        <sz val="12"/>
        <rFont val="Times New Roman"/>
        <family val="1"/>
        <charset val="204"/>
      </rPr>
      <t>збільшення частки соціальних працівників, які пройшли навчання відносно базового рівня 70%</t>
    </r>
  </si>
  <si>
    <r>
      <t>За 9 міс. 2018 року заходи профінансовані з наступних джерел: 951,50</t>
    </r>
    <r>
      <rPr>
        <i/>
        <sz val="12"/>
        <rFont val="Times New Roman"/>
        <family val="1"/>
        <charset val="204"/>
      </rPr>
      <t xml:space="preserve"> тис. грн. - бюджет м. Києва; 7,84 тис. грн. - ГФ; 316,50 тис. грн. - ШТ надійшли в якості благодійної допомоги</t>
    </r>
  </si>
  <si>
    <r>
      <rPr>
        <b/>
        <sz val="12"/>
        <rFont val="Times New Roman"/>
        <family val="1"/>
        <charset val="204"/>
      </rPr>
      <t>Показник якості</t>
    </r>
    <r>
      <rPr>
        <sz val="12"/>
        <rFont val="Times New Roman"/>
        <family val="1"/>
        <charset val="204"/>
      </rPr>
      <t>: відсоток позитивних результатів тестування на ВІЛ-інфекції, %</t>
    </r>
  </si>
  <si>
    <r>
      <t xml:space="preserve">Кількість ЛЖВ, які знають свій статус, становить 13822 осіб з ВІЛ-інфекцією </t>
    </r>
    <r>
      <rPr>
        <i/>
        <sz val="12"/>
        <rFont val="Times New Roman"/>
        <family val="1"/>
        <charset val="204"/>
      </rPr>
      <t>(з урахування дітей, народжених від ВІЛ-інфікованих матерів</t>
    </r>
    <r>
      <rPr>
        <sz val="12"/>
        <rFont val="Times New Roman"/>
        <family val="1"/>
        <charset val="204"/>
      </rPr>
      <t>)</t>
    </r>
  </si>
  <si>
    <r>
      <rPr>
        <b/>
        <sz val="12"/>
        <rFont val="Times New Roman"/>
        <family val="1"/>
        <charset val="204"/>
      </rPr>
      <t>Показник продукту</t>
    </r>
    <r>
      <rPr>
        <sz val="12"/>
        <rFont val="Times New Roman"/>
        <family val="1"/>
        <charset val="204"/>
      </rPr>
      <t>: проведення міського дня тестування  на ВІЛ-інфекцію на рік, одиниць</t>
    </r>
  </si>
  <si>
    <r>
      <rPr>
        <b/>
        <sz val="12"/>
        <rFont val="Times New Roman"/>
        <family val="1"/>
        <charset val="204"/>
      </rPr>
      <t>Показник якості</t>
    </r>
    <r>
      <rPr>
        <sz val="12"/>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</si>
  <si>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r>
      <t xml:space="preserve">За 9 міс. 2018 року заходи профінансовані з наступних джерел: </t>
    </r>
    <r>
      <rPr>
        <i/>
        <sz val="12"/>
        <rFont val="Times New Roman"/>
        <family val="1"/>
        <charset val="204"/>
      </rPr>
      <t>1618,66 тис. грн. - ГФ; 309,12 тис. грн. -  Elton John AIDS Foundation</t>
    </r>
  </si>
  <si>
    <r>
      <t xml:space="preserve">Показник продукту: </t>
    </r>
    <r>
      <rPr>
        <sz val="12"/>
        <rFont val="Times New Roman"/>
        <family val="1"/>
        <charset val="204"/>
      </rPr>
      <t>кількість осіб з числа ГПР, у яких було діагностовано ВІЛ на базі НУО</t>
    </r>
  </si>
  <si>
    <r>
      <t xml:space="preserve">Показник ефективності: </t>
    </r>
    <r>
      <rPr>
        <sz val="12"/>
        <rFont val="Times New Roman"/>
        <family val="1"/>
        <charset val="204"/>
      </rPr>
      <t>вартість виявлення 1 ЛЖВ з числа ГПР на базі НУО</t>
    </r>
  </si>
  <si>
    <r>
      <t>Показник якості:</t>
    </r>
    <r>
      <rPr>
        <sz val="12"/>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</si>
  <si>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</si>
  <si>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rFont val="Times New Roman"/>
        <family val="1"/>
        <charset val="204"/>
      </rPr>
      <t>Забезпечено належного рівню якості досліджень з використанням швидких тестів</t>
    </r>
  </si>
  <si>
    <r>
      <rPr>
        <b/>
        <sz val="12"/>
        <rFont val="Times New Roman"/>
        <family val="1"/>
        <charset val="204"/>
      </rPr>
      <t xml:space="preserve">Показник затрат </t>
    </r>
    <r>
      <rPr>
        <sz val="12"/>
        <rFont val="Times New Roman"/>
        <family val="1"/>
        <charset val="204"/>
      </rPr>
      <t>(ДБ), тис. грн</t>
    </r>
  </si>
  <si>
    <r>
      <t xml:space="preserve">За 9 місяців 2018 року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</si>
  <si>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</si>
  <si>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rFont val="Times New Roman"/>
        <family val="1"/>
        <charset val="204"/>
      </rPr>
      <t>Показник затрат</t>
    </r>
    <r>
      <rPr>
        <sz val="12"/>
        <rFont val="Times New Roman"/>
        <family val="1"/>
        <charset val="204"/>
      </rPr>
      <t xml:space="preserve"> (МБ), тис. грн</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</si>
  <si>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</si>
  <si>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rFont val="Times New Roman"/>
        <family val="1"/>
        <charset val="204"/>
      </rPr>
      <t>Показник продукту</t>
    </r>
    <r>
      <rPr>
        <sz val="12"/>
        <rFont val="Times New Roman"/>
        <family val="1"/>
        <charset val="204"/>
      </rPr>
      <t>: кількість зареєстрованих нових випадків ВІЛ-інфекції</t>
    </r>
  </si>
  <si>
    <r>
      <rPr>
        <b/>
        <sz val="12"/>
        <rFont val="Times New Roman"/>
        <family val="1"/>
        <charset val="204"/>
      </rPr>
      <t>Показник ефективності</t>
    </r>
    <r>
      <rPr>
        <sz val="12"/>
        <rFont val="Times New Roman"/>
        <family val="1"/>
        <charset val="204"/>
      </rPr>
      <t>: середні витрати на реєстрацію 1 випадку ВІЛ-інфекції, тис. грн.</t>
    </r>
  </si>
  <si>
    <r>
      <rPr>
        <b/>
        <sz val="12"/>
        <rFont val="Times New Roman"/>
        <family val="1"/>
        <charset val="204"/>
      </rPr>
      <t>Показник якості</t>
    </r>
    <r>
      <rPr>
        <sz val="12"/>
        <rFont val="Times New Roman"/>
        <family val="1"/>
        <charset val="204"/>
      </rPr>
      <t xml:space="preserve">: загальна чисельність ЛЖВ, які знають свій статус </t>
    </r>
  </si>
  <si>
    <r>
      <rPr>
        <b/>
        <sz val="12"/>
        <rFont val="Times New Roman"/>
        <family val="1"/>
        <charset val="204"/>
      </rPr>
      <t>Показник якості</t>
    </r>
    <r>
      <rPr>
        <sz val="12"/>
        <rFont val="Times New Roman"/>
        <family val="1"/>
        <charset val="204"/>
      </rPr>
      <t xml:space="preserve">: динаміка частки ЛЖВ,  які знають свій ВІЛ-статус (від оціночної чисельності ЛЖВ), відносно базового рівня - 47% </t>
    </r>
  </si>
  <si>
    <r>
      <rPr>
        <b/>
        <sz val="12"/>
        <rFont val="Times New Roman"/>
        <family val="1"/>
        <charset val="204"/>
      </rPr>
      <t>Показник продукту</t>
    </r>
    <r>
      <rPr>
        <sz val="12"/>
        <rFont val="Times New Roman"/>
        <family val="1"/>
        <charset val="204"/>
      </rPr>
      <t xml:space="preserve">: кількість осіб, у яких діагностовано ВІЛ-інфекцію під час перебування на стаціонарному лікуванні </t>
    </r>
  </si>
  <si>
    <r>
      <t xml:space="preserve">За 9 міс. 2018 р. заходи профінансовані з наступних джерел: </t>
    </r>
    <r>
      <rPr>
        <i/>
        <sz val="12"/>
        <rFont val="Times New Roman"/>
        <family val="1"/>
        <charset val="204"/>
      </rPr>
      <t>163,60 тис. грн. - Elton John AIDS Foundation; 1098,8 тис. грн. - ГФ; 130,17 тис. грн. - CDC</t>
    </r>
  </si>
  <si>
    <r>
      <rPr>
        <b/>
        <sz val="12"/>
        <rFont val="Times New Roman"/>
        <family val="1"/>
        <charset val="204"/>
      </rPr>
      <t>Показник продукту</t>
    </r>
    <r>
      <rPr>
        <sz val="12"/>
        <rFont val="Times New Roman"/>
        <family val="1"/>
        <charset val="204"/>
      </rPr>
      <t>: кількість ЛЖВ з числа ГПР, які звернулися за направленням НУО для отриманням допомоги</t>
    </r>
  </si>
  <si>
    <r>
      <rPr>
        <b/>
        <sz val="12"/>
        <rFont val="Times New Roman"/>
        <family val="1"/>
        <charset val="204"/>
      </rPr>
      <t>Показник ефективності</t>
    </r>
    <r>
      <rPr>
        <sz val="12"/>
        <rFont val="Times New Roman"/>
        <family val="1"/>
        <charset val="204"/>
      </rPr>
      <t xml:space="preserve">: вартість витрат на супровід ЛЖВ до закладу медичного здоров’я  </t>
    </r>
  </si>
  <si>
    <r>
      <rPr>
        <b/>
        <sz val="12"/>
        <rFont val="Times New Roman"/>
        <family val="1"/>
        <charset val="204"/>
      </rPr>
      <t>Показник затрат</t>
    </r>
    <r>
      <rPr>
        <sz val="12"/>
        <rFont val="Times New Roman"/>
        <family val="1"/>
        <charset val="204"/>
      </rPr>
      <t xml:space="preserve">: тис. грн. </t>
    </r>
  </si>
  <si>
    <r>
      <rPr>
        <b/>
        <sz val="12"/>
        <rFont val="Times New Roman"/>
        <family val="1"/>
        <charset val="204"/>
      </rPr>
      <t>Показник продукту:</t>
    </r>
    <r>
      <rPr>
        <sz val="12"/>
        <rFont val="Times New Roman"/>
        <family val="1"/>
        <charset val="204"/>
      </rPr>
      <t xml:space="preserve"> кількість ЛЖВ, які обстежені на опортуністичні інфекції при взятті під медичний нагляд </t>
    </r>
  </si>
  <si>
    <r>
      <rPr>
        <b/>
        <sz val="12"/>
        <rFont val="Times New Roman"/>
        <family val="1"/>
        <charset val="204"/>
      </rPr>
      <t>Показник ефективності</t>
    </r>
    <r>
      <rPr>
        <sz val="12"/>
        <rFont val="Times New Roman"/>
        <family val="1"/>
        <charset val="204"/>
      </rPr>
      <t xml:space="preserve">: середня вартість лабораторного обстеження на опортуністичні інфекції 1 первинного пацієнта </t>
    </r>
  </si>
  <si>
    <r>
      <rPr>
        <b/>
        <sz val="12"/>
        <rFont val="Times New Roman"/>
        <family val="1"/>
        <charset val="204"/>
      </rPr>
      <t>Показник якості:</t>
    </r>
    <r>
      <rPr>
        <sz val="12"/>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</si>
  <si>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У І півріччі заходи профінансовані з наступних джерел: 932,53</t>
    </r>
    <r>
      <rPr>
        <i/>
        <sz val="12"/>
        <rFont val="Times New Roman"/>
        <family val="1"/>
        <charset val="204"/>
      </rPr>
      <t xml:space="preserve"> тис. грн. - кошти бюджету м. Києва, 681,31 тис. грн. - кошти з інших джерел (у якості благодійної допомоги)</t>
    </r>
  </si>
  <si>
    <r>
      <t xml:space="preserve">Показник продукту: </t>
    </r>
    <r>
      <rPr>
        <sz val="12"/>
        <rFont val="Times New Roman"/>
        <family val="1"/>
        <charset val="204"/>
      </rPr>
      <t xml:space="preserve">кількість ЛЖВ, які охоплені клініко-лабораторним обстеженням </t>
    </r>
  </si>
  <si>
    <r>
      <t xml:space="preserve">Показник ефективності: </t>
    </r>
    <r>
      <rPr>
        <sz val="12"/>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</si>
  <si>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rFont val="Times New Roman"/>
        <family val="1"/>
        <charset val="204"/>
      </rPr>
      <t>динаміка охоплення клініко-лабораторним обстеженням ЛЖВ при взятті під медичний нагляд. Базовий рівень показника 80%</t>
    </r>
  </si>
  <si>
    <r>
      <t>За 9 міс. 2018 року заходи профінансовані з наступних джерел:  1620,29 тис. грн. - кошти бюджету м. Києва, 173,14</t>
    </r>
    <r>
      <rPr>
        <i/>
        <sz val="12"/>
        <rFont val="Times New Roman"/>
        <family val="1"/>
        <charset val="204"/>
      </rPr>
      <t xml:space="preserve"> тис. грн. - інші кошти </t>
    </r>
  </si>
  <si>
    <r>
      <t xml:space="preserve">Показник продукту: </t>
    </r>
    <r>
      <rPr>
        <sz val="12"/>
        <rFont val="Times New Roman"/>
        <family val="1"/>
        <charset val="204"/>
      </rPr>
      <t>кількість ЛЖВ, які отримали лікування опортуністичних інфекцій</t>
    </r>
  </si>
  <si>
    <r>
      <t xml:space="preserve">Показник ефективності: </t>
    </r>
    <r>
      <rPr>
        <sz val="12"/>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</si>
  <si>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Показники продукту: </t>
    </r>
    <r>
      <rPr>
        <sz val="12"/>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</si>
  <si>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rFont val="Times New Roman"/>
        <family val="1"/>
        <charset val="204"/>
      </rPr>
      <t xml:space="preserve">середня вартість навчання, тис. грн. </t>
    </r>
  </si>
  <si>
    <r>
      <t xml:space="preserve">Показник якості: </t>
    </r>
    <r>
      <rPr>
        <sz val="12"/>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</si>
  <si>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r>
      <t>За 9 міс. 2018 року заходи профінансовані з наступних джерел: 26 648,90</t>
    </r>
    <r>
      <rPr>
        <i/>
        <sz val="12"/>
        <rFont val="Times New Roman"/>
        <family val="1"/>
        <charset val="204"/>
      </rPr>
      <t xml:space="preserve"> тис. грн. - ДБ; 7021,84 тис. грн. - ГФ; 6016,83 тис. грн. - PEPFAR; 2236,04 тис. грн. - Благодійна організація "Фонд Олени Пінчук "АНТИСНІД".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</si>
  <si>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r>
      <t>За 9 міс. 2018 року заходи профінансовані з наступних джерел: 842,71</t>
    </r>
    <r>
      <rPr>
        <i/>
        <sz val="12"/>
        <rFont val="Times New Roman"/>
        <family val="1"/>
        <charset val="204"/>
      </rPr>
      <t xml:space="preserve"> тис. грн. - ГФ; 318,87 тис. грн. - CDC; 160,00 тис. грн. - Elton John AIDS Foundation</t>
    </r>
  </si>
  <si>
    <r>
      <t xml:space="preserve">За 9 міс. 2018 р. заходи профінансовані з наступних джерел: </t>
    </r>
    <r>
      <rPr>
        <i/>
        <sz val="12"/>
        <rFont val="Times New Roman"/>
        <family val="1"/>
        <charset val="204"/>
      </rPr>
      <t xml:space="preserve">10377,44 тис. грн. - ДБ; 2706,83 тис. грн. - PEPFAR; 3468,72 тис. грн.- з інших джерел (кошти МБ через Департамент соціальної політики). </t>
    </r>
    <r>
      <rPr>
        <sz val="12"/>
        <rFont val="Times New Roman"/>
        <family val="1"/>
        <charset val="204"/>
      </rPr>
      <t>Відхилення від цільового показника обумовлено відставанням від прогнозованого темпу реалізації програми</t>
    </r>
  </si>
  <si>
    <r>
      <t>Підготовлено проект та затверджено наказ Департаменту охорони здоровя (№ 205 від 27.02.2018 р.), рішення засідання Координаційної ради; 3 протоколи доручень  (</t>
    </r>
    <r>
      <rPr>
        <i/>
        <sz val="12"/>
        <rFont val="Times New Roman"/>
        <family val="1"/>
        <charset val="204"/>
      </rPr>
      <t>потребує уточнення у ДОЗ</t>
    </r>
    <r>
      <rPr>
        <sz val="12"/>
        <rFont val="Times New Roman"/>
        <family val="1"/>
        <charset val="204"/>
      </rPr>
      <t>)</t>
    </r>
  </si>
  <si>
    <r>
      <t>За даними Альянсу громадського здоровя для забезпечення преконтактної профілактики (РгЕР) серед ЧСЧ за 9 місяців 2018 року обсяг фінансування склав 1673,02 тис. грн., у т.ч. АРП на суму 234,70 тис. грн. (</t>
    </r>
    <r>
      <rPr>
        <i/>
        <sz val="12"/>
        <rFont val="Times New Roman"/>
        <family val="1"/>
        <charset val="204"/>
      </rPr>
      <t>PEPFAR</t>
    </r>
    <r>
      <rPr>
        <sz val="12"/>
        <rFont val="Times New Roman"/>
        <family val="1"/>
        <charset val="204"/>
      </rPr>
      <t>)</t>
    </r>
  </si>
  <si>
    <r>
      <t xml:space="preserve">Проведено закупівлю товарів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192,66 тис. грн. Проведено закупівлю препаратів ЗПТ на суму 710,50 тис. грн., отримано препаратів на суму 96,13 тис. грн.</t>
    </r>
  </si>
  <si>
    <t xml:space="preserve">Показник за даними звітів НУО за 9 міс. 2018 р. </t>
  </si>
  <si>
    <t>За даними наданих звітів НУО за 9 міс. 2018 р.</t>
  </si>
  <si>
    <t>Додаток 1</t>
  </si>
  <si>
    <t>5.1.3. Гематологічні дослідження</t>
  </si>
  <si>
    <t>Інформація про виконання за І квартал 2019 року Міської цільової програми протидії епідемії  ВІЛ-інфекції на 2017-2021 роки</t>
  </si>
  <si>
    <t>Визначено на підставі звітів НУО</t>
  </si>
  <si>
    <t>Навчання лікарів забезпечено в рамках проектів міжнародної технічної підтримки</t>
  </si>
  <si>
    <t>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за кошти Державного бюджету попереднього року.</t>
  </si>
  <si>
    <t>З урахуванням хворих, які спостерігаються за місцем проживанням у інфекціоністів КДЦ та на базі аптек КП "Фармація".</t>
  </si>
  <si>
    <t>Бодня А.О., 450-77-08</t>
  </si>
  <si>
    <t>Загоровський В.С., 450-45-50</t>
  </si>
  <si>
    <t>Виконавці:</t>
  </si>
  <si>
    <t>Головний лікар ____________ Казека В.Г.</t>
  </si>
  <si>
    <t>3,1,4</t>
  </si>
  <si>
    <r>
      <t>Показник продукту:</t>
    </r>
    <r>
      <rPr>
        <sz val="12"/>
        <rFont val="Times New Roman"/>
        <family val="1"/>
        <charset val="204"/>
      </rPr>
      <t xml:space="preserve"> кількість ЧСЧ, які отримали преконтактну профілактику </t>
    </r>
  </si>
  <si>
    <t>Впровадження преконтактної профілактики (РгЕР) антиретровірусними препаратами серед ЧСЧ здійснюється у рамках централізованих поставок АРТ</t>
  </si>
  <si>
    <t>Інформація про виконання програми за 2019 рік</t>
  </si>
  <si>
    <t>Відсутня потреба в закупівлі на 2019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</si>
  <si>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Економія коштів: укладено договір на 1 грн з КП "Фармація"/Договір був укладений у 2016 році</t>
  </si>
  <si>
    <t>Показник визначений на підставі звітів НУО за 9 місяців:  ВБО "Конвіктус Україна", ГО "Клуб Еней", ВБФ "Дроп ін Центр" та КМЦ СССМС</t>
  </si>
  <si>
    <t>Показник визначений на підставі звітів НУО за 9 місяців: ГО "Альянс. Глобал"; ВБО "Точка опори"</t>
  </si>
  <si>
    <t>Частка ЧСЧ, які охоплені профілактичними послугами станом на 01.10.2019 року становить 37,7 % від оціночної чисельності. Зменшення охоплення відбулось, за рахунок закриття ГО "Допоможи життю" у 2018 році.</t>
  </si>
  <si>
    <t>Показник визначений на підставі звітів НУО за 9 місяців:  ВБО "Конвіктус Україна", ГО "Клуб Еней", ВБФ "Дроп ін Центр"</t>
  </si>
  <si>
    <t>За даними звітів НУО впроваджувалися нові моделі: 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</si>
  <si>
    <t>Частка осіб з ГР, які були охоплені профілактичними програмами станом на 01.10.2019р. -  60,8%</t>
  </si>
  <si>
    <t>Станом на 01.10.2019 було оснащено 16 кабінетів ЗПТ, всі кабінети ЗПТ у ЗОЗ ПМСД були оснащені протягом 2017-2018 років</t>
  </si>
  <si>
    <t>Станом на 01.10.2019 року кількість дітей, народжених від ВІЛ-інфікованих матерів, віком до 1 року - 139 дітей, 100% з них забезпечені адаптованими молочними сумішами.</t>
  </si>
  <si>
    <t>Обстеженням охоплено 100% вагітних жінок. За даними сероепідмоніторингу (ф. 2-ВІЛ/СНІД - квартальна)</t>
  </si>
  <si>
    <t>Забезпечені 100% дітей, які перебувають на обліку</t>
  </si>
  <si>
    <t>За даними НУО за 9 місяців 2019 р.</t>
  </si>
  <si>
    <t xml:space="preserve">Обмеження в якості даних. У звітах НУО немає чіткого розділення витрат на окремі види товарів чи діяльность  </t>
  </si>
  <si>
    <t>Кількість осіб, яких вперше взято під медичне спостереження протягом 9 місяців2019 року 1 249 осіб, з них 65 осіб на базі КНП КДЦ, 10 осіб на базі КМТЛ №2, 1 особа на базі КМНЛ "Соціотерапія", решта осіб на базі КМЦ СНІДу</t>
  </si>
  <si>
    <t xml:space="preserve">Кількість осіб, які мали доступ до мобільної амбулаторії становила 60,8%. Абсолютна кількість осіб, які скористались мобільною амбулаторією становить 8 582. Показник визначений на підставі звітів НУО  </t>
  </si>
  <si>
    <t xml:space="preserve">З урахуванням наявності залишків препаратів з різних джерел, протягом 9 місяців пацієнти у повному були охоплені лікуванням </t>
  </si>
  <si>
    <t>100% пацієнтів серед вперше виявлених та призначених АРТ охопленні соціальним супроводом</t>
  </si>
  <si>
    <t>Показник (з числа осіб, які отримують АРТ понад 6 міс., та були обстежені протягом 9 місяців 2019 року)</t>
  </si>
  <si>
    <t>Навчання медичних працівників забезпечено в рамках проектів міжнародної технічної підтримки</t>
  </si>
  <si>
    <t>Загальна чисельність ЛЖВ, які знають свій ВІЛ статус включає осіб, які знаходяться під медичним спостереженням  у ДУ "Інститут епідеміології та інфекційних хвороб ім. Л.В.Громашевського" - 924 осіб</t>
  </si>
  <si>
    <t>Навчання медичних працівників здійснювалось у рамках проекту Hels Link та на базі КМКЛ №5</t>
  </si>
  <si>
    <t xml:space="preserve">100% лікарів інфекціоністі КДЦ  пройшли навчання  діагностики та лікування ВІЛ-інфекції/СНІДу. </t>
  </si>
  <si>
    <t xml:space="preserve">Станом на 01.10.2019 р. кількість ЛЖВ, які отримують терапію становить 11 342 особи. З них: 10 418 пацієнтів отримували АРТ терапію на базі КМЦ СНІДу. 924 пацієнтів -мешканців Києва отримуваали АРТ терапію на базі   ДУ "Інститут епідеміології та інфекційних хвороб ім. Л.В. Громашевського НАМН України" </t>
  </si>
  <si>
    <t>Всі пацієнти, які були виявленні і стали під медичне спостереження у КДЦ призначено базові схеми АРТ</t>
  </si>
  <si>
    <t>Відсоток осіб, які охоплені соціальним супроводом становить 71,9%</t>
  </si>
  <si>
    <t xml:space="preserve">Кількість ЛЖВ, які знають свій статус, становить 14 207  з врахування 924 мешканців м. Києва, що перебувають на обліку в ДУ "Інститут епідеміології та інфекційних хвороб ім. Л.В. Громашевського НАМН України" </t>
  </si>
  <si>
    <t xml:space="preserve">Загалом у м. Києві за 9 місяців було обстежено 210 626 осіб, у т.ч. обстежені швидкими тестами 112 348 (53,3 %). З них обстежено ШТ у ЗОЗ м. Києва та кабінетах "Довіра"  84 412 ( 75,1%) </t>
  </si>
  <si>
    <t>Загалом за результатами скринінгу виявлено серологічні маркери ВІЛ у 2295 осіб, з них у 1719 (74,9%) осіб, які були обстеженні швидкими тестами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</si>
  <si>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1,1%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</si>
  <si>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41557 особи, з них 1174 отримали ВІЛ-позитивний результат, взято під нагляд протягом звітного року з уперше в житті встановленим діагнозом ВІЛ-інфекція 548 особа.</t>
  </si>
  <si>
    <t>За 9 місяців 2019 року 548 особа була взята під медичне спостереження за направленнями НГО. Цифра сформована із поданих звітів НГО за 9 місяців 2019р. Остаточна цифра буде сформована за результатами всіх поданих звітів НГО</t>
  </si>
  <si>
    <t>814 медичні працівника вториного та третинного рівня пройшли навчання з питань застосування у практиці навичок ПТВ, з них 700 за пітримки проекту HealthLink, 286 медичні працівника пройшли навчання на базі Київського міського центру СНІДу</t>
  </si>
  <si>
    <t>146 медичних працівників ЦПМСД протягом 9 місяців 2019 року пройшли навчання з ПТВ, з них 26 медичних працівника у рамках проекту Hels Links</t>
  </si>
  <si>
    <r>
      <t xml:space="preserve">Показник визначений на підставі звітів НУО за 9 місяців ( 97 % </t>
    </r>
    <r>
      <rPr>
        <i/>
        <sz val="12"/>
        <rFont val="Times New Roman"/>
        <family val="1"/>
        <charset val="204"/>
      </rPr>
      <t>кошти ГФ</t>
    </r>
    <r>
      <rPr>
        <sz val="12"/>
        <rFont val="Times New Roman"/>
        <family val="1"/>
        <charset val="204"/>
      </rPr>
      <t xml:space="preserve">); </t>
    </r>
  </si>
  <si>
    <r>
      <t xml:space="preserve">Показник визначений на підставі звітів НУО за 9 місяців ( 99 % </t>
    </r>
    <r>
      <rPr>
        <i/>
        <sz val="12"/>
        <rFont val="Times New Roman"/>
        <family val="1"/>
        <charset val="204"/>
      </rPr>
      <t>кошти ГФ</t>
    </r>
    <r>
      <rPr>
        <sz val="12"/>
        <rFont val="Times New Roman"/>
        <family val="1"/>
        <charset val="204"/>
      </rPr>
      <t xml:space="preserve">); </t>
    </r>
  </si>
  <si>
    <r>
      <t xml:space="preserve">Показник визначений на підставі звітів НУО за 9 місяців ( 100 % </t>
    </r>
    <r>
      <rPr>
        <i/>
        <sz val="12"/>
        <rFont val="Times New Roman"/>
        <family val="1"/>
        <charset val="204"/>
      </rPr>
      <t>кошти ГФ</t>
    </r>
    <r>
      <rPr>
        <sz val="12"/>
        <rFont val="Times New Roman"/>
        <family val="1"/>
        <charset val="204"/>
      </rPr>
      <t xml:space="preserve">); </t>
    </r>
  </si>
  <si>
    <r>
      <t xml:space="preserve">Проведено закупівлю препаратів </t>
    </r>
    <r>
      <rPr>
        <i/>
        <sz val="12"/>
        <rFont val="Times New Roman"/>
        <family val="1"/>
        <charset val="204"/>
      </rPr>
      <t>за кошти бюджету м. Києва</t>
    </r>
    <r>
      <rPr>
        <sz val="12"/>
        <rFont val="Times New Roman"/>
        <family val="1"/>
        <charset val="204"/>
      </rPr>
      <t xml:space="preserve"> та укладено договори на суму 1663.66 тис. грн., отримано товарів на суму 244 447,48 тис. грн. </t>
    </r>
  </si>
  <si>
    <t>42,9% ЧСЧ охоплено доконтактною профілактикою  від планового показника. Причина невиконання показника - пізня поставка АРТ препаратів у ІІ кварталі 2019</t>
  </si>
  <si>
    <t>Охоплено 100 % при наявності статевого партнера на момент виявлення ВІЛ-інфекції</t>
  </si>
  <si>
    <t xml:space="preserve">Охоплено 100% осіб, які виявили отримувати ЗПТ </t>
  </si>
  <si>
    <t>про виконання результативних показників за 9 місяців 2019 року Міської цільової програми протидії епідемії ВІЛ-інфекції</t>
  </si>
  <si>
    <t>Інформація про виконання за 9 місяців 2019 року Міської цільової програми протидії епідемії  ВІЛ-інфекції на 2017-2021 роки</t>
  </si>
  <si>
    <t>Частка РКС, які охоплені профілактичними послугами станом на 01.10.2019 року становить 44,3 % від оціночної чисельності за даними НУО</t>
  </si>
  <si>
    <t>Відповідних навчальних зазходів не було</t>
  </si>
  <si>
    <t>Охоплено 100% ЛЖВ, які мали показання до обстеження</t>
  </si>
  <si>
    <t>Діагностика вірусного навантаженння  в повному обсязі була забезпечена за рахунок Державного бюджету (поставки 2016-2018рр)</t>
  </si>
  <si>
    <t>Соціальний супровід здійснюється НГО: ВБО "Конвіктус Україна", ГО "Клуб Еней", ВБФ "Дроп ін Центр", ГО "100 відсотків життя.Київський регіон" та Київським міським центром соціальних служб сім'ї дітей та молоді</t>
  </si>
  <si>
    <t xml:space="preserve">Фактичне значення ефективності показника буде сформовано за підсумками четвертого кварталу </t>
  </si>
  <si>
    <t>Коштів на 2019 рік не передбачено</t>
  </si>
  <si>
    <t>100% охоплення пацієнтів, які були вперше виявлені за місцем проживання, призначено АРТ препарати</t>
  </si>
  <si>
    <t>Оснащення кабінетів лікарів-інфекціоністів  у КДЦ здійснювалось у 2017 році</t>
  </si>
  <si>
    <t>Показник буде сформовано за результатами четвертого кварталу</t>
  </si>
  <si>
    <t>Охоплено 100% ЛЖВ, які були взяті під медичне спостереження к КМЦ СНІДу</t>
  </si>
  <si>
    <t>Показник ефективності буде сформовано за резельтатами четвертого кварталу</t>
  </si>
  <si>
    <r>
      <t xml:space="preserve">Показник визначений на підставі звітів НУО за 9 місяців, у т.ч. за джерелами: </t>
    </r>
    <r>
      <rPr>
        <i/>
        <sz val="12"/>
        <rFont val="Times New Roman"/>
        <family val="1"/>
        <charset val="204"/>
      </rPr>
      <t>ГФ - 1 833 229 тис. грн; AHF Ukraine - 1 391 220 тис. грн.; Gilead -  46 000 тис.грн</t>
    </r>
  </si>
  <si>
    <t>Станом на 01.10 2019 р. у м. Києві працюють 4 мобільних амбулаторій, на базі чотирьох громадських організацій: ВБФ «Дроп ін Центр", ВБО«Конвіктус України”, Фундація АнтиСНІД-США в Україні (AHF); ГО "Альянс Громадського здоров'я";                                                           
Одна мобільна амбулаторія, яка знаходилась на балансі у ГО "Клуб Еней" потрапила у ДТП. Протягом третього кварталу виїзди мобільної амбулаторії не здійснювались</t>
  </si>
  <si>
    <t>Показник ефективності знижений, за рахунок відсутності 3 мобільних амбулаторій( Причини не використання мобільних амбулаторій: - 1 мобільна амбулаторія потрапила у ДТП, друга мобільна амбулаторія - не була профінансована, третя - мобільна амбулаторія, була передана на баланс ГО "Альянс громадського здоров'я", по причині передачі профілактичних проектів іншій організації</t>
  </si>
  <si>
    <t>Показник ефективності буде сформований за даними четвертого кварталу</t>
  </si>
  <si>
    <t>Відхилення обумовлено пізньою поставкою АРТ препаратів (II) квартал. Показник буде сформований за результатами четвертого кварталу</t>
  </si>
  <si>
    <t xml:space="preserve">За даними сероепідмоніторингу (Форма 2 ВІЛ/СНІД квартальна) було виявлено 140 ВІЛ-позитивних статевих партнерів ЛЖВ, з них взято під медичне спостереження 128 (100% при наявность статевого партнера на момент виявлення ВІЛ-інфекції)                         </t>
  </si>
  <si>
    <t>кабінети ЗПТ запроваджено у 9 районах м. Києва (всі окрім Печерського). З них на базі ЦПМСД - 6 районів, один на базі  ТМО Фтизіатрія (Голосіївськимй район).Протягом третього кварталу  запрацювали сайти ЗПТ у Шевченківському, Оболонському, Дарницькому районах.</t>
  </si>
  <si>
    <t>Показник затрат перевищує за рахунок поставок із Державного бюджету  та інших коштів (Глобальний фонд)</t>
  </si>
  <si>
    <t>Показник затрат перевищує за рахунок поставок (2016-2017 рр) із Державного бюджету  та інших коштів (Глобальний фонд)</t>
  </si>
  <si>
    <t>Показник буде сформований за результатами четвертого кварталу</t>
  </si>
  <si>
    <t xml:space="preserve">Відхилення обумовлено меншим фактичним обсягом послуг від запланованого </t>
  </si>
  <si>
    <t>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2017 році</t>
  </si>
  <si>
    <t>За даними НУО за 9 місяців 2019 р. Показник продукту буде сформований за результатами річних звітів</t>
  </si>
  <si>
    <t>Показник затрат перевищений за рахунок прямих поставок із Державного бюджету на витратні матеріали скринінгу донацій донорів</t>
  </si>
  <si>
    <t>Показник буде сформований за результатами річних звітів</t>
  </si>
  <si>
    <t>Показник буде сформований за результатами річних звітів НУО</t>
  </si>
  <si>
    <t>Зовнішня цінка якості досліджень з використання швидких тестів буде проводитись у ІV кварталі 2019 року</t>
  </si>
  <si>
    <t>Охоплено 100% ЛЖВ, які мали показання до профілактики</t>
  </si>
  <si>
    <t>Заходи були реалізовані переважно за рахунок препаратів, які отримані з Місцевого бюджету</t>
  </si>
  <si>
    <t>Діагностику підтверджуючих результатів у повному обсязі проведено за кошти Державного бюджету (поставки 2016-2017рр)</t>
  </si>
  <si>
    <t>У повному обсязі діагностику підтверджуючих результатів проведено за кошти Державного бюджету (поставки 2016-2017рр)</t>
  </si>
  <si>
    <t>Відхилення обумовлено вартістю тест-систем та витратних матеріалів, які були закуплені за кошти місцевого бюджету</t>
  </si>
  <si>
    <t>Проміжний результат.Показник буде сформований за результатами річних звітів</t>
  </si>
  <si>
    <t>Основна причина невиконання - особи, які отримали позитивний результат тестування на ВІЛ у ЗОЗ  не звернулися для подальшого медичного нагляду у звязку із ВІЛ-інфекцією.</t>
  </si>
  <si>
    <t>Відхилення показника обумовлено відставанням темпів виявлення та взяття під медичне спостереження ВІЛ-інфікованих осіб</t>
  </si>
  <si>
    <t>Проведення підтверджуючих результатів у повному обсязі здійснювалось за кошти Державного бюджету (поставки 2016-2017рр)</t>
  </si>
  <si>
    <t>Річний показник якості буде сформований за результатами річних звітів</t>
  </si>
  <si>
    <t>Проміжний результат. Річний показник буде сформований за результатами четвертого кварталу</t>
  </si>
  <si>
    <t>Інформацію неможливо подати у повному обсязі, із-за міграційних процесів ЛЖВ у розрізі адміністративних районів м. Києва</t>
  </si>
  <si>
    <t>Зниження показника обумовлено відхиленням в бік зменшення кількості ЛЖВ, які були взяті під медичний нагляд.</t>
  </si>
  <si>
    <t>Низький показник свідчить про обмежене фінансування на соціальний супровід ЛЖВ</t>
  </si>
  <si>
    <t>100% охоплено ЛЖВ клініко-лабораторним обстеженням</t>
  </si>
  <si>
    <t>Проміжний показник затрат. Кінцевий показник буде сформований за результатами річних звітів</t>
  </si>
  <si>
    <t>Відхилення за рахунок економії коштів на етапі закупівлі</t>
  </si>
  <si>
    <t>Навчння медичних працівників первинного, вторинного, третинного рівнів здійснювалось одночасно на тренінгах. Неможливо зробити розподіл коштів із-за відсутності механізму.</t>
  </si>
  <si>
    <t>100% охоплено аптечних закладів КП "Фармація" для видачі АРВ препаратів</t>
  </si>
  <si>
    <t>Річний показний затрат буде сформований за результатами четвертого кварталу</t>
  </si>
  <si>
    <t>Високий показник свідчить про збільшення обсягів фінансування на соціальний супровід ЛЖВ.</t>
  </si>
  <si>
    <t>Проміжний результат. Річний показник ефективності буде сформований за результатами четвертого кварталу</t>
  </si>
  <si>
    <t>Проміжний результат. Річний показник якості буде сформований за результатами четвертого кварталу</t>
  </si>
  <si>
    <t>Зниження вартості послуг</t>
  </si>
  <si>
    <t>Розширення спектру послуг для ЧСЧ</t>
  </si>
  <si>
    <t xml:space="preserve">Фактичне значення є меншим за плановий, оскільки зазначений підхід залучення ЛЖВ до медичного нагляду є інноваційним і має відпрацьовуватися. </t>
  </si>
  <si>
    <t>Частка ЛВІН, які охоплені профілактичними послугами станом на 01.10.2019 року становить 90% від оціночної кількості. Наявний показник свідчить про високий рівень охоплення ЛВІН профілактичними послугами</t>
  </si>
  <si>
    <t xml:space="preserve">Виконувач обов’язків директора     </t>
  </si>
  <si>
    <t xml:space="preserve"> Галина ЗБОРОМИРСЬКА</t>
  </si>
  <si>
    <t>Заступник директора - начальник управління економіки</t>
  </si>
  <si>
    <t>Дмитро КУЦОПАЛ</t>
  </si>
  <si>
    <t>Заступник начальника управління економіки</t>
  </si>
  <si>
    <t>Леся ШМУЛЬКО</t>
  </si>
  <si>
    <t>Заступник начальника відділу лікувально-профілактичної допомоги</t>
  </si>
  <si>
    <t>Інна МИХАЙЛОВА</t>
  </si>
  <si>
    <t>Начальник відділу спеціального фонду та цільових програм</t>
  </si>
  <si>
    <t>Ірина ТИЩЕНКО</t>
  </si>
  <si>
    <t>Головний спеціаліст відділу спеціального фонду та цільових програм</t>
  </si>
  <si>
    <t>Світлана СКОРИК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</si>
</sst>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_-* #,##0.00\ _₽_-;\-* #,##0.00\ _₽_-;_-* &quot;-&quot;??\ _₽_-;_-@_-"/>
    <numFmt numFmtId="166" formatCode="#,##0.0"/>
    <numFmt numFmtId="167" formatCode="#,##0.000"/>
    <numFmt numFmtId="168" formatCode="0.000"/>
    <numFmt numFmtId="169" formatCode="0.0"/>
    <numFmt numFmtId="170" formatCode="\+0.00"/>
    <numFmt numFmtId="171" formatCode="\+0.0"/>
    <numFmt numFmtId="172" formatCode="\+0"/>
    <numFmt numFmtId="173" formatCode="#,##0.00\ _₽"/>
    <numFmt numFmtId="174" formatCode="#,##0_ ;\-#,##0\ "/>
    <numFmt numFmtId="175" formatCode="#,##0.00\ _₽;[Red]#,##0.00\ _₽"/>
  </numFmts>
  <fonts count="89" x14ac:knownFonts="1">
    <font>
      <sz val="11"/>
      <color theme="1"/>
      <name val="Calibri"/>
      <family val="2"/>
      <charset val="204"/>
      <scheme val="minor"/>
    </font>
    <font>
      <sz val="8"/>
      <name val="Calibri"/>
      <family val="2"/>
      <charset val="204"/>
    </font>
    <font>
      <sz val="12"/>
      <name val="Times New Roman"/>
      <family val="1"/>
      <charset val="204"/>
    </font>
    <font>
      <sz val="10"/>
      <name val="Times New Roman"/>
      <family val="1"/>
      <charset val="204"/>
    </font>
    <font>
      <b/>
      <sz val="12"/>
      <color indexed="62"/>
      <name val="Times New Roman"/>
      <family val="1"/>
      <charset val="204"/>
    </font>
    <font>
      <b/>
      <sz val="12"/>
      <name val="Times New Roman"/>
      <family val="1"/>
      <charset val="204"/>
    </font>
    <font>
      <sz val="10"/>
      <color indexed="62"/>
      <name val="Times New Roman"/>
      <family val="1"/>
      <charset val="204"/>
    </font>
    <font>
      <sz val="12"/>
      <color indexed="62"/>
      <name val="Times New Roman"/>
      <family val="1"/>
      <charset val="204"/>
    </font>
    <font>
      <sz val="12"/>
      <color indexed="8"/>
      <name val="Times New Roman"/>
      <family val="1"/>
      <charset val="204"/>
    </font>
    <font>
      <sz val="12"/>
      <color indexed="10"/>
      <name val="Times New Roman"/>
      <family val="1"/>
      <charset val="204"/>
    </font>
    <font>
      <b/>
      <sz val="12"/>
      <color indexed="8"/>
      <name val="Times New Roman"/>
      <family val="1"/>
      <charset val="204"/>
    </font>
    <font>
      <sz val="10"/>
      <color indexed="8"/>
      <name val="Times New Roman"/>
      <family val="1"/>
      <charset val="204"/>
    </font>
    <font>
      <sz val="10"/>
      <color indexed="10"/>
      <name val="Times New Roman"/>
      <family val="1"/>
      <charset val="204"/>
    </font>
    <font>
      <b/>
      <sz val="8"/>
      <name val="Times New Roman"/>
      <family val="1"/>
      <charset val="204"/>
    </font>
    <font>
      <sz val="8"/>
      <name val="Times New Roman"/>
      <family val="1"/>
      <charset val="204"/>
    </font>
    <font>
      <b/>
      <sz val="20"/>
      <name val="Times New Roman"/>
      <family val="1"/>
      <charset val="204"/>
    </font>
    <font>
      <sz val="20"/>
      <name val="Times New Roman"/>
      <family val="1"/>
      <charset val="204"/>
    </font>
    <font>
      <b/>
      <sz val="16"/>
      <name val="Times New Roman"/>
      <family val="1"/>
      <charset val="204"/>
    </font>
    <font>
      <sz val="16"/>
      <name val="Times New Roman"/>
      <family val="1"/>
      <charset val="204"/>
    </font>
    <font>
      <b/>
      <sz val="16"/>
      <color indexed="8"/>
      <name val="Calibri"/>
      <family val="2"/>
      <charset val="204"/>
    </font>
    <font>
      <sz val="16"/>
      <color indexed="8"/>
      <name val="Calibri"/>
      <family val="2"/>
      <charset val="204"/>
    </font>
    <font>
      <b/>
      <i/>
      <sz val="12"/>
      <color indexed="62"/>
      <name val="Times New Roman"/>
      <family val="1"/>
      <charset val="204"/>
    </font>
    <font>
      <b/>
      <i/>
      <sz val="12"/>
      <color indexed="8"/>
      <name val="Times New Roman"/>
      <family val="1"/>
      <charset val="204"/>
    </font>
    <font>
      <i/>
      <sz val="12"/>
      <color indexed="8"/>
      <name val="Times New Roman"/>
      <family val="1"/>
      <charset val="204"/>
    </font>
    <font>
      <b/>
      <i/>
      <sz val="12"/>
      <name val="Times New Roman"/>
      <family val="1"/>
      <charset val="204"/>
    </font>
    <font>
      <i/>
      <sz val="12"/>
      <name val="Times New Roman"/>
      <family val="1"/>
      <charset val="204"/>
    </font>
    <font>
      <sz val="9"/>
      <name val="Times New Roman"/>
      <family val="1"/>
      <charset val="204"/>
    </font>
    <font>
      <sz val="14"/>
      <color indexed="8"/>
      <name val="Times New Roman"/>
      <family val="1"/>
      <charset val="204"/>
    </font>
    <font>
      <sz val="11"/>
      <color indexed="8"/>
      <name val="Times New Roman"/>
      <family val="1"/>
      <charset val="204"/>
    </font>
    <font>
      <i/>
      <sz val="12"/>
      <color indexed="10"/>
      <name val="Times New Roman"/>
      <family val="1"/>
      <charset val="204"/>
    </font>
    <font>
      <sz val="11"/>
      <name val="Times New Roman"/>
      <family val="1"/>
      <charset val="204"/>
    </font>
    <font>
      <sz val="11"/>
      <color theme="1"/>
      <name val="Calibri"/>
      <family val="2"/>
      <charset val="204"/>
      <scheme val="minor"/>
    </font>
    <font>
      <sz val="11"/>
      <color theme="0"/>
      <name val="Calibri"/>
      <family val="2"/>
      <charset val="204"/>
      <scheme val="minor"/>
    </font>
    <font>
      <sz val="11"/>
      <color rgb="FF9C6500"/>
      <name val="Calibri"/>
      <family val="2"/>
      <charset val="204"/>
      <scheme val="minor"/>
    </font>
    <font>
      <sz val="11"/>
      <color rgb="FFFF0000"/>
      <name val="Calibri"/>
      <family val="2"/>
      <charset val="204"/>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sz val="14"/>
      <color theme="1"/>
      <name val="Times New Roman"/>
      <family val="1"/>
      <charset val="204"/>
    </font>
    <font>
      <b/>
      <i/>
      <sz val="12"/>
      <color theme="1"/>
      <name val="Times New Roman"/>
      <family val="1"/>
      <charset val="204"/>
    </font>
    <font>
      <sz val="14"/>
      <color rgb="FF000000"/>
      <name val="Times New Roman"/>
      <family val="1"/>
      <charset val="204"/>
    </font>
    <font>
      <i/>
      <sz val="11"/>
      <color theme="1"/>
      <name val="Calibri"/>
      <family val="2"/>
      <charset val="204"/>
      <scheme val="minor"/>
    </font>
    <font>
      <b/>
      <sz val="12"/>
      <color rgb="FFFF0000"/>
      <name val="Times New Roman"/>
      <family val="1"/>
      <charset val="204"/>
    </font>
    <font>
      <i/>
      <sz val="12"/>
      <color theme="1"/>
      <name val="Times New Roman"/>
      <family val="1"/>
      <charset val="204"/>
    </font>
    <font>
      <sz val="11"/>
      <color rgb="FF000000"/>
      <name val="Times New Roman"/>
      <family val="1"/>
      <charset val="204"/>
    </font>
    <font>
      <sz val="11"/>
      <color rgb="FFC00000"/>
      <name val="Calibri"/>
      <family val="2"/>
      <charset val="204"/>
      <scheme val="minor"/>
    </font>
    <font>
      <sz val="12"/>
      <color rgb="FFC00000"/>
      <name val="Times New Roman"/>
      <family val="1"/>
      <charset val="204"/>
    </font>
    <font>
      <b/>
      <i/>
      <sz val="12"/>
      <color rgb="FFC00000"/>
      <name val="Times New Roman"/>
      <family val="1"/>
      <charset val="204"/>
    </font>
    <font>
      <i/>
      <sz val="12"/>
      <color rgb="FFC00000"/>
      <name val="Times New Roman"/>
      <family val="1"/>
      <charset val="204"/>
    </font>
    <font>
      <i/>
      <sz val="11"/>
      <color rgb="FFC00000"/>
      <name val="Calibri"/>
      <family val="2"/>
      <charset val="204"/>
      <scheme val="minor"/>
    </font>
    <font>
      <sz val="14"/>
      <color rgb="FFC00000"/>
      <name val="Calibri"/>
      <family val="2"/>
      <charset val="204"/>
      <scheme val="minor"/>
    </font>
    <font>
      <sz val="14"/>
      <color theme="1"/>
      <name val="Calibri"/>
      <family val="2"/>
      <charset val="204"/>
      <scheme val="minor"/>
    </font>
    <font>
      <sz val="12"/>
      <color rgb="FF00B050"/>
      <name val="Times New Roman"/>
      <family val="1"/>
      <charset val="204"/>
    </font>
    <font>
      <b/>
      <sz val="12"/>
      <color rgb="FF000099"/>
      <name val="Times New Roman"/>
      <family val="1"/>
      <charset val="204"/>
    </font>
    <font>
      <sz val="12"/>
      <color rgb="FF000099"/>
      <name val="Times New Roman"/>
      <family val="1"/>
      <charset val="204"/>
    </font>
    <font>
      <sz val="11"/>
      <color rgb="FF000099"/>
      <name val="Times New Roman"/>
      <family val="1"/>
      <charset val="204"/>
    </font>
    <font>
      <sz val="11"/>
      <name val="Calibri"/>
      <family val="2"/>
      <charset val="204"/>
      <scheme val="minor"/>
    </font>
    <font>
      <i/>
      <sz val="11"/>
      <name val="Calibri"/>
      <family val="2"/>
      <charset val="204"/>
      <scheme val="minor"/>
    </font>
    <font>
      <sz val="12"/>
      <color rgb="FFFF0000"/>
      <name val="Times New Roman"/>
      <family val="1"/>
      <charset val="204"/>
    </font>
    <font>
      <b/>
      <i/>
      <sz val="12"/>
      <color rgb="FF0070C0"/>
      <name val="Times New Roman"/>
      <family val="1"/>
      <charset val="204"/>
    </font>
    <font>
      <sz val="12"/>
      <color rgb="FF002060"/>
      <name val="Times New Roman"/>
      <family val="1"/>
      <charset val="204"/>
    </font>
    <font>
      <sz val="14"/>
      <color rgb="FF002060"/>
      <name val="Calibri"/>
      <family val="2"/>
      <charset val="204"/>
      <scheme val="minor"/>
    </font>
    <font>
      <sz val="11"/>
      <color rgb="FF002060"/>
      <name val="Calibri"/>
      <family val="2"/>
      <charset val="204"/>
      <scheme val="minor"/>
    </font>
    <font>
      <b/>
      <sz val="12"/>
      <color rgb="FF002060"/>
      <name val="Times New Roman"/>
      <family val="1"/>
      <charset val="204"/>
    </font>
    <font>
      <sz val="12"/>
      <color rgb="FF0070C0"/>
      <name val="Times New Roman"/>
      <family val="1"/>
      <charset val="204"/>
    </font>
    <font>
      <sz val="12"/>
      <name val="Cambria"/>
      <family val="1"/>
      <charset val="204"/>
      <scheme val="major"/>
    </font>
    <font>
      <sz val="12"/>
      <color indexed="8"/>
      <name val="Cambria"/>
      <family val="1"/>
      <charset val="204"/>
      <scheme val="major"/>
    </font>
    <font>
      <sz val="12"/>
      <color rgb="FF002060"/>
      <name val="Cambria"/>
      <family val="1"/>
      <charset val="204"/>
      <scheme val="major"/>
    </font>
    <font>
      <sz val="12"/>
      <color theme="1"/>
      <name val="Cambria"/>
      <family val="1"/>
      <charset val="204"/>
      <scheme val="major"/>
    </font>
    <font>
      <b/>
      <sz val="12"/>
      <name val="Cambria"/>
      <family val="1"/>
      <charset val="204"/>
      <scheme val="major"/>
    </font>
    <font>
      <sz val="12"/>
      <color rgb="FFFF0000"/>
      <name val="Cambria"/>
      <family val="1"/>
      <charset val="204"/>
      <scheme val="major"/>
    </font>
    <font>
      <sz val="12"/>
      <color rgb="FF00B050"/>
      <name val="Cambria"/>
      <family val="1"/>
      <charset val="204"/>
      <scheme val="major"/>
    </font>
    <font>
      <sz val="11"/>
      <color rgb="FF00B050"/>
      <name val="Calibri"/>
      <family val="2"/>
      <charset val="204"/>
      <scheme val="minor"/>
    </font>
    <font>
      <b/>
      <i/>
      <sz val="12"/>
      <color rgb="FFFF0000"/>
      <name val="Times New Roman"/>
      <family val="1"/>
      <charset val="204"/>
    </font>
    <font>
      <sz val="9"/>
      <color indexed="81"/>
      <name val="Tahoma"/>
      <family val="2"/>
      <charset val="204"/>
    </font>
    <font>
      <b/>
      <sz val="9"/>
      <color indexed="81"/>
      <name val="Tahoma"/>
      <family val="2"/>
      <charset val="204"/>
    </font>
    <font>
      <b/>
      <i/>
      <sz val="12"/>
      <color rgb="FF00B050"/>
      <name val="Times New Roman"/>
      <family val="1"/>
      <charset val="204"/>
    </font>
    <font>
      <b/>
      <sz val="12"/>
      <color rgb="FF00B050"/>
      <name val="Times New Roman"/>
      <family val="1"/>
      <charset val="204"/>
    </font>
    <font>
      <sz val="9"/>
      <color rgb="FF000080"/>
      <name val="Times New Roman"/>
      <family val="1"/>
      <charset val="204"/>
    </font>
    <font>
      <i/>
      <sz val="12"/>
      <color rgb="FF00B050"/>
      <name val="Times New Roman"/>
      <family val="1"/>
      <charset val="204"/>
    </font>
    <font>
      <sz val="13.5"/>
      <color theme="1"/>
      <name val="Times New Roman"/>
      <family val="1"/>
      <charset val="204"/>
    </font>
    <font>
      <sz val="14"/>
      <name val="Times New Roman"/>
      <family val="1"/>
      <charset val="204"/>
    </font>
    <font>
      <sz val="14"/>
      <name val="Cambria"/>
      <family val="1"/>
      <charset val="204"/>
      <scheme val="major"/>
    </font>
    <font>
      <sz val="14"/>
      <color indexed="8"/>
      <name val="Cambria"/>
      <family val="1"/>
      <charset val="204"/>
      <scheme val="major"/>
    </font>
    <font>
      <sz val="14"/>
      <color theme="0"/>
      <name val="Times New Roman"/>
      <family val="1"/>
      <charset val="204"/>
    </font>
    <font>
      <sz val="18"/>
      <color theme="1"/>
      <name val="Times New Roman"/>
      <family val="1"/>
      <charset val="204"/>
    </font>
    <font>
      <sz val="18"/>
      <color theme="1"/>
      <name val="Calibri"/>
      <family val="2"/>
      <charset val="204"/>
      <scheme val="minor"/>
    </font>
    <font>
      <sz val="18"/>
      <name val="Times New Roman"/>
      <family val="1"/>
      <charset val="204"/>
    </font>
    <font>
      <sz val="18"/>
      <color theme="0"/>
      <name val="Times New Roman"/>
      <family val="1"/>
      <charset val="204"/>
    </font>
  </fonts>
  <fills count="11">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33" fillId="3" borderId="0" applyNumberFormat="0" applyBorder="0" applyAlignment="0" applyProtection="0"/>
    <xf numFmtId="9" fontId="31" fillId="0" borderId="0" applyFont="0" applyFill="0" applyBorder="0" applyAlignment="0" applyProtection="0"/>
    <xf numFmtId="164" fontId="31" fillId="0" borderId="0" applyFont="0" applyFill="0" applyBorder="0" applyAlignment="0" applyProtection="0"/>
    <xf numFmtId="0" fontId="78" fillId="0" borderId="0">
      <alignment horizontal="right" vertical="top"/>
    </xf>
  </cellStyleXfs>
  <cellXfs count="1264">
    <xf numFmtId="0" fontId="0" fillId="0" borderId="0" xfId="0"/>
    <xf numFmtId="49" fontId="2"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8" fillId="0" borderId="0" xfId="0" applyFont="1" applyAlignment="1">
      <alignment vertical="top" wrapText="1"/>
    </xf>
    <xf numFmtId="0" fontId="5" fillId="0" borderId="1" xfId="0" applyFont="1" applyBorder="1" applyAlignment="1">
      <alignment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7"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Border="1" applyAlignment="1">
      <alignment horizontal="center" vertical="top" wrapText="1"/>
    </xf>
    <xf numFmtId="49" fontId="2"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8" fillId="0" borderId="0" xfId="0" applyNumberFormat="1" applyFont="1" applyAlignment="1">
      <alignment horizontal="center" vertical="top" wrapText="1"/>
    </xf>
    <xf numFmtId="0" fontId="11" fillId="0" borderId="0" xfId="0" applyFont="1" applyAlignment="1">
      <alignment vertical="top" wrapText="1"/>
    </xf>
    <xf numFmtId="0" fontId="8" fillId="0" borderId="0" xfId="0" applyFont="1" applyAlignment="1">
      <alignment horizontal="justify" vertical="top" wrapText="1"/>
    </xf>
    <xf numFmtId="166" fontId="7" fillId="0" borderId="1" xfId="0" applyNumberFormat="1" applyFont="1" applyBorder="1" applyAlignment="1">
      <alignment horizontal="right" vertical="top" wrapText="1"/>
    </xf>
    <xf numFmtId="166" fontId="8" fillId="2" borderId="1" xfId="0" applyNumberFormat="1" applyFont="1" applyFill="1" applyBorder="1" applyAlignment="1">
      <alignment horizontal="right" vertical="top" wrapText="1"/>
    </xf>
    <xf numFmtId="166" fontId="2" fillId="2" borderId="1" xfId="0" applyNumberFormat="1" applyFont="1" applyFill="1" applyBorder="1" applyAlignment="1">
      <alignment horizontal="right" vertical="top" wrapText="1"/>
    </xf>
    <xf numFmtId="166" fontId="2" fillId="0" borderId="1" xfId="0" applyNumberFormat="1" applyFont="1" applyBorder="1" applyAlignment="1">
      <alignment horizontal="right" vertical="top" wrapText="1"/>
    </xf>
    <xf numFmtId="166" fontId="8" fillId="0" borderId="1" xfId="0" applyNumberFormat="1" applyFont="1" applyBorder="1" applyAlignment="1">
      <alignment horizontal="right"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166" fontId="4" fillId="0" borderId="1" xfId="0" applyNumberFormat="1" applyFont="1" applyBorder="1" applyAlignment="1">
      <alignment horizontal="right" vertical="top" wrapText="1"/>
    </xf>
    <xf numFmtId="49" fontId="6" fillId="0" borderId="1" xfId="0" applyNumberFormat="1" applyFont="1" applyBorder="1" applyAlignment="1">
      <alignment horizontal="center" vertical="top" wrapText="1"/>
    </xf>
    <xf numFmtId="0" fontId="3" fillId="0" borderId="1" xfId="0" applyFont="1" applyBorder="1" applyAlignment="1">
      <alignment vertical="top" wrapText="1"/>
    </xf>
    <xf numFmtId="0" fontId="11" fillId="0" borderId="1" xfId="0" applyFont="1" applyBorder="1" applyAlignment="1">
      <alignment horizontal="center" vertical="top" wrapText="1"/>
    </xf>
    <xf numFmtId="166" fontId="11" fillId="2" borderId="1" xfId="0" applyNumberFormat="1" applyFont="1" applyFill="1" applyBorder="1" applyAlignment="1">
      <alignment horizontal="right" vertical="top" wrapText="1"/>
    </xf>
    <xf numFmtId="166" fontId="3" fillId="2" borderId="1" xfId="0" applyNumberFormat="1" applyFont="1" applyFill="1" applyBorder="1" applyAlignment="1">
      <alignment horizontal="right" vertical="top" wrapText="1"/>
    </xf>
    <xf numFmtId="166" fontId="3" fillId="0" borderId="1" xfId="0" applyNumberFormat="1" applyFont="1" applyBorder="1" applyAlignment="1">
      <alignment horizontal="right" vertical="top" wrapText="1"/>
    </xf>
    <xf numFmtId="49" fontId="11" fillId="0" borderId="1" xfId="0" applyNumberFormat="1" applyFont="1" applyBorder="1" applyAlignment="1">
      <alignment horizontal="center" vertical="top" wrapText="1"/>
    </xf>
    <xf numFmtId="166" fontId="11"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top" wrapText="1"/>
    </xf>
    <xf numFmtId="166" fontId="7" fillId="2" borderId="1" xfId="0" applyNumberFormat="1" applyFont="1" applyFill="1" applyBorder="1" applyAlignment="1">
      <alignment horizontal="righ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166" fontId="5" fillId="0" borderId="1" xfId="0" applyNumberFormat="1" applyFont="1" applyBorder="1" applyAlignment="1">
      <alignment horizontal="right" vertical="top" wrapText="1"/>
    </xf>
    <xf numFmtId="0" fontId="11" fillId="0" borderId="1" xfId="0" applyFont="1" applyBorder="1" applyAlignment="1">
      <alignment vertical="top" wrapText="1"/>
    </xf>
    <xf numFmtId="166" fontId="11" fillId="0" borderId="1" xfId="0" applyNumberFormat="1" applyFont="1" applyFill="1" applyBorder="1" applyAlignment="1">
      <alignment horizontal="right" vertical="top" wrapText="1"/>
    </xf>
    <xf numFmtId="166" fontId="3" fillId="0" borderId="1" xfId="0" applyNumberFormat="1" applyFont="1" applyFill="1" applyBorder="1" applyAlignment="1">
      <alignment horizontal="righ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1" xfId="0" applyFont="1" applyFill="1" applyBorder="1" applyAlignment="1">
      <alignment vertical="top" wrapText="1"/>
    </xf>
    <xf numFmtId="0" fontId="3" fillId="0" borderId="0" xfId="0" applyFont="1" applyAlignment="1">
      <alignment vertical="top" wrapText="1"/>
    </xf>
    <xf numFmtId="0" fontId="5" fillId="0" borderId="1" xfId="0" applyFont="1" applyBorder="1" applyAlignment="1">
      <alignment horizontal="center" vertical="top" wrapText="1"/>
    </xf>
    <xf numFmtId="0" fontId="10" fillId="0" borderId="0" xfId="0" applyFont="1" applyAlignment="1">
      <alignment vertical="top" wrapText="1"/>
    </xf>
    <xf numFmtId="0" fontId="7" fillId="0" borderId="1" xfId="0" applyFont="1" applyFill="1" applyBorder="1" applyAlignment="1">
      <alignment horizontal="center" vertical="top" wrapText="1"/>
    </xf>
    <xf numFmtId="166" fontId="7"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166" fontId="12" fillId="2"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wrapText="1"/>
    </xf>
    <xf numFmtId="166" fontId="9" fillId="2" borderId="1" xfId="0" applyNumberFormat="1" applyFont="1" applyFill="1" applyBorder="1" applyAlignment="1">
      <alignment horizontal="right" vertical="top" wrapText="1"/>
    </xf>
    <xf numFmtId="4" fontId="8" fillId="0" borderId="0" xfId="0" applyNumberFormat="1" applyFont="1" applyAlignment="1">
      <alignment horizontal="right" vertical="top" wrapText="1"/>
    </xf>
    <xf numFmtId="0" fontId="5"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166" fontId="5" fillId="0" borderId="1" xfId="0" applyNumberFormat="1" applyFont="1" applyFill="1" applyBorder="1" applyAlignment="1">
      <alignment horizontal="right" vertical="top"/>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8" fillId="0" borderId="0" xfId="0" applyFont="1" applyFill="1" applyAlignment="1">
      <alignment vertical="top"/>
    </xf>
    <xf numFmtId="0" fontId="15" fillId="0" borderId="0" xfId="0" applyFont="1" applyFill="1" applyBorder="1" applyAlignment="1">
      <alignment horizontal="left" vertical="top"/>
    </xf>
    <xf numFmtId="0" fontId="16" fillId="0" borderId="0" xfId="0" applyFont="1" applyFill="1" applyBorder="1" applyAlignment="1">
      <alignment vertical="top"/>
    </xf>
    <xf numFmtId="0" fontId="19" fillId="0" borderId="0" xfId="0" applyFont="1"/>
    <xf numFmtId="0" fontId="20" fillId="0" borderId="0" xfId="0" applyFont="1"/>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center" vertical="top" wrapText="1"/>
    </xf>
    <xf numFmtId="4" fontId="4"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right" vertical="top" wrapText="1"/>
    </xf>
    <xf numFmtId="4" fontId="11" fillId="0" borderId="1" xfId="0" applyNumberFormat="1" applyFont="1" applyBorder="1" applyAlignment="1">
      <alignment horizontal="right" vertical="top" wrapText="1"/>
    </xf>
    <xf numFmtId="4" fontId="7" fillId="2" borderId="1" xfId="0" applyNumberFormat="1" applyFont="1" applyFill="1" applyBorder="1" applyAlignment="1">
      <alignment horizontal="right" vertical="top" wrapText="1"/>
    </xf>
    <xf numFmtId="4" fontId="11"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4" fontId="8" fillId="0" borderId="1" xfId="0" applyNumberFormat="1" applyFont="1" applyBorder="1" applyAlignment="1">
      <alignment horizontal="right" vertical="top" wrapText="1"/>
    </xf>
    <xf numFmtId="4" fontId="3"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wrapText="1"/>
    </xf>
    <xf numFmtId="4" fontId="9" fillId="0" borderId="0" xfId="0" applyNumberFormat="1" applyFont="1" applyAlignment="1">
      <alignment horizontal="right" vertical="top" wrapText="1"/>
    </xf>
    <xf numFmtId="4" fontId="13" fillId="0" borderId="0" xfId="0" applyNumberFormat="1" applyFont="1" applyFill="1"/>
    <xf numFmtId="4" fontId="5" fillId="0" borderId="0" xfId="0" applyNumberFormat="1" applyFont="1" applyFill="1"/>
    <xf numFmtId="4" fontId="5" fillId="0" borderId="0" xfId="0" applyNumberFormat="1" applyFont="1" applyFill="1" applyAlignment="1">
      <alignment horizontal="right"/>
    </xf>
    <xf numFmtId="4" fontId="14" fillId="0" borderId="0" xfId="0" applyNumberFormat="1" applyFont="1" applyFill="1"/>
    <xf numFmtId="4" fontId="2" fillId="0" borderId="0" xfId="0" applyNumberFormat="1" applyFont="1" applyFill="1"/>
    <xf numFmtId="4" fontId="2" fillId="0" borderId="0" xfId="0" applyNumberFormat="1" applyFont="1" applyFill="1" applyAlignment="1">
      <alignment horizontal="right"/>
    </xf>
    <xf numFmtId="4" fontId="2"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top"/>
    </xf>
    <xf numFmtId="4" fontId="5"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8" fillId="0" borderId="0" xfId="0" applyNumberFormat="1" applyFont="1" applyFill="1" applyAlignment="1">
      <alignment horizontal="right" vertical="top" wrapText="1"/>
    </xf>
    <xf numFmtId="0" fontId="5" fillId="4" borderId="2" xfId="0" applyFont="1" applyFill="1" applyBorder="1" applyAlignment="1">
      <alignment horizontal="left" vertical="top" wrapText="1"/>
    </xf>
    <xf numFmtId="3" fontId="8" fillId="4" borderId="1" xfId="0" applyNumberFormat="1" applyFont="1" applyFill="1" applyBorder="1" applyAlignment="1">
      <alignment horizontal="center" vertical="top"/>
    </xf>
    <xf numFmtId="0" fontId="8" fillId="4" borderId="1" xfId="0" applyFont="1" applyFill="1" applyBorder="1" applyAlignment="1">
      <alignment vertical="top"/>
    </xf>
    <xf numFmtId="0" fontId="8" fillId="4" borderId="1" xfId="0" applyFont="1" applyFill="1" applyBorder="1" applyAlignment="1">
      <alignment horizontal="center" vertical="top"/>
    </xf>
    <xf numFmtId="0" fontId="2" fillId="4" borderId="1" xfId="0" applyFont="1" applyFill="1" applyBorder="1" applyAlignment="1">
      <alignment horizontal="center" vertical="top"/>
    </xf>
    <xf numFmtId="3" fontId="8" fillId="4" borderId="1" xfId="0" applyNumberFormat="1" applyFont="1" applyFill="1" applyBorder="1" applyAlignment="1">
      <alignment horizontal="center" vertical="center"/>
    </xf>
    <xf numFmtId="0" fontId="2" fillId="4" borderId="3" xfId="0" applyFont="1" applyFill="1" applyBorder="1" applyAlignment="1">
      <alignment horizontal="center" vertical="top"/>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0" fontId="8" fillId="4" borderId="1" xfId="0" applyFont="1" applyFill="1" applyBorder="1" applyAlignment="1">
      <alignment vertical="top" wrapText="1"/>
    </xf>
    <xf numFmtId="0" fontId="5" fillId="4" borderId="2" xfId="0" applyFont="1" applyFill="1" applyBorder="1" applyAlignment="1">
      <alignment horizontal="left" vertical="top" wrapText="1"/>
    </xf>
    <xf numFmtId="0" fontId="0" fillId="4" borderId="0" xfId="0" applyFill="1"/>
    <xf numFmtId="0" fontId="8" fillId="4" borderId="0" xfId="0" applyFont="1" applyFill="1" applyAlignment="1">
      <alignment vertical="top"/>
    </xf>
    <xf numFmtId="0" fontId="5" fillId="4" borderId="0" xfId="0" applyFont="1" applyFill="1" applyAlignment="1">
      <alignment vertical="top" wrapText="1"/>
    </xf>
    <xf numFmtId="0" fontId="5" fillId="4"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21" fillId="4" borderId="1" xfId="0" applyNumberFormat="1"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167" fontId="8" fillId="4" borderId="1" xfId="0" applyNumberFormat="1" applyFont="1" applyFill="1" applyBorder="1" applyAlignment="1">
      <alignment horizontal="center" vertical="top"/>
    </xf>
    <xf numFmtId="0" fontId="10" fillId="4" borderId="2" xfId="0" applyFont="1" applyFill="1" applyBorder="1" applyAlignment="1">
      <alignment horizontal="left" vertical="top" wrapText="1"/>
    </xf>
    <xf numFmtId="168" fontId="8" fillId="4" borderId="1" xfId="0" applyNumberFormat="1" applyFont="1" applyFill="1" applyBorder="1" applyAlignment="1">
      <alignment horizontal="center" vertical="top" wrapText="1"/>
    </xf>
    <xf numFmtId="1" fontId="8" fillId="4" borderId="1" xfId="0" applyNumberFormat="1" applyFont="1" applyFill="1" applyBorder="1" applyAlignment="1">
      <alignment horizontal="center" vertical="top"/>
    </xf>
    <xf numFmtId="49" fontId="22" fillId="4" borderId="4" xfId="0" applyNumberFormat="1" applyFont="1" applyFill="1" applyBorder="1" applyAlignment="1">
      <alignment horizontal="center" vertical="top"/>
    </xf>
    <xf numFmtId="49" fontId="8" fillId="4" borderId="4" xfId="0" applyNumberFormat="1" applyFont="1" applyFill="1" applyBorder="1" applyAlignment="1">
      <alignment horizontal="center" vertical="top"/>
    </xf>
    <xf numFmtId="168" fontId="8" fillId="4" borderId="1" xfId="0" applyNumberFormat="1" applyFont="1" applyFill="1" applyBorder="1" applyAlignment="1">
      <alignment horizontal="center" vertical="top"/>
    </xf>
    <xf numFmtId="169" fontId="8" fillId="4" borderId="1" xfId="0" applyNumberFormat="1" applyFont="1" applyFill="1" applyBorder="1" applyAlignment="1">
      <alignment horizontal="center" vertical="top" wrapText="1"/>
    </xf>
    <xf numFmtId="169" fontId="8" fillId="4" borderId="1" xfId="0" applyNumberFormat="1" applyFont="1" applyFill="1" applyBorder="1" applyAlignment="1">
      <alignment horizontal="center" vertical="top"/>
    </xf>
    <xf numFmtId="167" fontId="2" fillId="4" borderId="1"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49" fontId="8" fillId="4" borderId="5"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0" fontId="5" fillId="4" borderId="1" xfId="0" applyFont="1" applyFill="1" applyBorder="1" applyAlignment="1">
      <alignment horizontal="left" vertical="top" wrapText="1"/>
    </xf>
    <xf numFmtId="169" fontId="2" fillId="4" borderId="1" xfId="0" applyNumberFormat="1" applyFont="1" applyFill="1" applyBorder="1" applyAlignment="1">
      <alignment horizontal="center" vertical="top" wrapText="1"/>
    </xf>
    <xf numFmtId="169" fontId="2" fillId="4" borderId="1" xfId="0" applyNumberFormat="1" applyFont="1" applyFill="1" applyBorder="1" applyAlignment="1">
      <alignment horizontal="center" vertical="top"/>
    </xf>
    <xf numFmtId="0" fontId="22" fillId="4" borderId="0" xfId="0" applyFont="1" applyFill="1" applyAlignment="1">
      <alignment vertical="top"/>
    </xf>
    <xf numFmtId="49" fontId="8" fillId="4" borderId="6" xfId="0" applyNumberFormat="1" applyFont="1" applyFill="1" applyBorder="1" applyAlignment="1">
      <alignment horizontal="center" vertical="top"/>
    </xf>
    <xf numFmtId="0" fontId="35" fillId="4" borderId="1" xfId="0" applyFont="1" applyFill="1" applyBorder="1" applyAlignment="1">
      <alignment vertical="center" wrapText="1"/>
    </xf>
    <xf numFmtId="0" fontId="36" fillId="4" borderId="1" xfId="0" applyFont="1" applyFill="1" applyBorder="1" applyAlignment="1">
      <alignment horizontal="center" vertical="top" wrapText="1"/>
    </xf>
    <xf numFmtId="0" fontId="36" fillId="4" borderId="1" xfId="0" applyFont="1" applyFill="1" applyBorder="1" applyAlignment="1">
      <alignment horizontal="center" vertical="top"/>
    </xf>
    <xf numFmtId="169" fontId="8" fillId="4" borderId="7" xfId="0" applyNumberFormat="1" applyFont="1" applyFill="1" applyBorder="1" applyAlignment="1">
      <alignment horizontal="center" vertical="top"/>
    </xf>
    <xf numFmtId="0" fontId="37" fillId="4" borderId="1" xfId="0" applyFont="1" applyFill="1" applyBorder="1" applyAlignment="1">
      <alignment horizontal="center" vertical="top" wrapText="1"/>
    </xf>
    <xf numFmtId="2" fontId="36" fillId="4" borderId="1" xfId="0" applyNumberFormat="1" applyFont="1" applyFill="1" applyBorder="1" applyAlignment="1">
      <alignment horizontal="center" vertical="top"/>
    </xf>
    <xf numFmtId="1" fontId="36" fillId="4" borderId="1" xfId="0" applyNumberFormat="1" applyFont="1" applyFill="1" applyBorder="1" applyAlignment="1">
      <alignment horizontal="center" vertical="top"/>
    </xf>
    <xf numFmtId="49" fontId="22" fillId="4" borderId="3" xfId="0" applyNumberFormat="1" applyFont="1" applyFill="1" applyBorder="1" applyAlignment="1">
      <alignment horizontal="center" vertical="top"/>
    </xf>
    <xf numFmtId="49" fontId="8" fillId="4" borderId="3" xfId="0" applyNumberFormat="1" applyFont="1" applyFill="1" applyBorder="1" applyAlignment="1">
      <alignment horizontal="center" vertical="top"/>
    </xf>
    <xf numFmtId="166" fontId="2" fillId="4"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xf>
    <xf numFmtId="49" fontId="8" fillId="4" borderId="8" xfId="0" applyNumberFormat="1" applyFont="1" applyFill="1" applyBorder="1" applyAlignment="1">
      <alignment horizontal="center" vertical="top"/>
    </xf>
    <xf numFmtId="0" fontId="36" fillId="4" borderId="1" xfId="0" applyFont="1" applyFill="1" applyBorder="1" applyAlignment="1">
      <alignment horizontal="center" vertical="center" wrapText="1"/>
    </xf>
    <xf numFmtId="166" fontId="2" fillId="4" borderId="2"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6" fontId="2" fillId="4" borderId="2" xfId="0" applyNumberFormat="1" applyFont="1" applyFill="1" applyBorder="1" applyAlignment="1">
      <alignment horizontal="center" vertical="top"/>
    </xf>
    <xf numFmtId="0" fontId="38" fillId="4" borderId="1" xfId="0" applyFont="1" applyFill="1" applyBorder="1" applyAlignment="1">
      <alignment horizontal="center" vertical="center"/>
    </xf>
    <xf numFmtId="0" fontId="38" fillId="4" borderId="1" xfId="0" applyFont="1" applyFill="1" applyBorder="1" applyAlignment="1">
      <alignment horizontal="center" vertical="top"/>
    </xf>
    <xf numFmtId="49" fontId="8" fillId="4" borderId="1" xfId="0" applyNumberFormat="1" applyFont="1" applyFill="1" applyBorder="1" applyAlignment="1">
      <alignment horizontal="center" vertical="top"/>
    </xf>
    <xf numFmtId="0" fontId="37" fillId="4"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xf>
    <xf numFmtId="49" fontId="8" fillId="4" borderId="9" xfId="0" applyNumberFormat="1" applyFont="1" applyFill="1" applyBorder="1" applyAlignment="1">
      <alignment horizontal="center" vertical="top"/>
    </xf>
    <xf numFmtId="0" fontId="39" fillId="4" borderId="1" xfId="0" applyFont="1" applyFill="1" applyBorder="1" applyAlignment="1">
      <alignment vertical="center" wrapText="1"/>
    </xf>
    <xf numFmtId="2" fontId="36" fillId="4" borderId="1" xfId="0" applyNumberFormat="1" applyFont="1" applyFill="1" applyBorder="1" applyAlignment="1">
      <alignment horizontal="center" vertical="top" wrapText="1"/>
    </xf>
    <xf numFmtId="2" fontId="36" fillId="4" borderId="1" xfId="0" applyNumberFormat="1" applyFont="1" applyFill="1" applyBorder="1" applyAlignment="1">
      <alignment horizontal="center" vertical="center" wrapText="1"/>
    </xf>
    <xf numFmtId="0" fontId="35" fillId="4" borderId="1" xfId="0" applyFont="1" applyFill="1" applyBorder="1" applyAlignment="1">
      <alignment vertical="top" wrapText="1"/>
    </xf>
    <xf numFmtId="0" fontId="8" fillId="4" borderId="1" xfId="0" applyFont="1" applyFill="1" applyBorder="1" applyAlignment="1">
      <alignment horizontal="left" vertical="top" wrapText="1"/>
    </xf>
    <xf numFmtId="0" fontId="35" fillId="4" borderId="3" xfId="0" applyFont="1" applyFill="1" applyBorder="1" applyAlignment="1">
      <alignment vertical="top" wrapText="1"/>
    </xf>
    <xf numFmtId="0" fontId="36" fillId="4" borderId="3" xfId="0" applyFont="1" applyFill="1" applyBorder="1" applyAlignment="1">
      <alignment horizontal="center" vertical="top" wrapText="1"/>
    </xf>
    <xf numFmtId="0" fontId="35" fillId="4" borderId="1" xfId="0" applyFont="1" applyFill="1" applyBorder="1" applyAlignment="1">
      <alignment horizontal="left" vertical="top" wrapText="1"/>
    </xf>
    <xf numFmtId="2" fontId="37" fillId="4" borderId="1"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xf>
    <xf numFmtId="0" fontId="35" fillId="4" borderId="3" xfId="0" applyFont="1" applyFill="1" applyBorder="1" applyAlignment="1">
      <alignment vertical="center" wrapText="1"/>
    </xf>
    <xf numFmtId="2" fontId="36" fillId="4" borderId="3" xfId="0" applyNumberFormat="1" applyFont="1" applyFill="1" applyBorder="1" applyAlignment="1">
      <alignment horizontal="center" vertical="top" wrapText="1"/>
    </xf>
    <xf numFmtId="0" fontId="24" fillId="4" borderId="1" xfId="0" applyFont="1" applyFill="1" applyBorder="1" applyAlignment="1">
      <alignment horizontal="left" vertical="top" wrapText="1"/>
    </xf>
    <xf numFmtId="1" fontId="8" fillId="4" borderId="2" xfId="0" applyNumberFormat="1" applyFont="1" applyFill="1" applyBorder="1" applyAlignment="1">
      <alignment horizontal="center" vertical="top"/>
    </xf>
    <xf numFmtId="0" fontId="40" fillId="4" borderId="1" xfId="0" applyFont="1" applyFill="1" applyBorder="1" applyAlignment="1">
      <alignment horizontal="center" vertical="center"/>
    </xf>
    <xf numFmtId="1" fontId="8" fillId="4" borderId="2" xfId="0" applyNumberFormat="1" applyFont="1" applyFill="1" applyBorder="1" applyAlignment="1">
      <alignment horizontal="center" vertical="center"/>
    </xf>
    <xf numFmtId="0" fontId="40" fillId="4" borderId="1" xfId="0" applyFont="1" applyFill="1" applyBorder="1" applyAlignment="1">
      <alignment horizontal="center" vertical="top"/>
    </xf>
    <xf numFmtId="49" fontId="5" fillId="4" borderId="3"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36" fillId="4" borderId="1" xfId="0" applyFont="1" applyFill="1" applyBorder="1" applyAlignment="1">
      <alignment vertical="center" wrapText="1"/>
    </xf>
    <xf numFmtId="49" fontId="24" fillId="4" borderId="1" xfId="0" applyNumberFormat="1" applyFont="1" applyFill="1" applyBorder="1" applyAlignment="1">
      <alignment horizontal="center" vertical="top" wrapText="1"/>
    </xf>
    <xf numFmtId="0" fontId="23" fillId="4" borderId="0" xfId="0" applyFont="1" applyFill="1" applyAlignment="1">
      <alignment vertical="top"/>
    </xf>
    <xf numFmtId="0" fontId="37" fillId="4" borderId="3" xfId="0"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0" fontId="2" fillId="4" borderId="1" xfId="0" applyFont="1" applyFill="1" applyBorder="1" applyAlignment="1">
      <alignment horizontal="center" wrapText="1"/>
    </xf>
    <xf numFmtId="49" fontId="24" fillId="4" borderId="1" xfId="0" applyNumberFormat="1" applyFont="1" applyFill="1" applyBorder="1" applyAlignment="1">
      <alignment horizontal="center" vertical="top"/>
    </xf>
    <xf numFmtId="0" fontId="24" fillId="4" borderId="1" xfId="0" applyFont="1" applyFill="1" applyBorder="1" applyAlignment="1">
      <alignment horizontal="left" vertical="top" wrapText="1"/>
    </xf>
    <xf numFmtId="49" fontId="2" fillId="4" borderId="1" xfId="0" applyNumberFormat="1" applyFont="1" applyFill="1" applyBorder="1" applyAlignment="1">
      <alignment horizontal="center" vertical="top"/>
    </xf>
    <xf numFmtId="49" fontId="24" fillId="4" borderId="4"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49" fontId="2" fillId="4" borderId="5"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24" fillId="4"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167"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xf>
    <xf numFmtId="49" fontId="2" fillId="4" borderId="8" xfId="0" applyNumberFormat="1" applyFont="1" applyFill="1" applyBorder="1" applyAlignment="1">
      <alignment horizontal="center" vertical="top"/>
    </xf>
    <xf numFmtId="0" fontId="2" fillId="4" borderId="2" xfId="0" applyFont="1" applyFill="1" applyBorder="1" applyAlignment="1">
      <alignment horizontal="center" vertical="top"/>
    </xf>
    <xf numFmtId="169" fontId="2" fillId="4" borderId="2" xfId="0" applyNumberFormat="1" applyFont="1" applyFill="1" applyBorder="1" applyAlignment="1">
      <alignment horizontal="center" vertical="top"/>
    </xf>
    <xf numFmtId="2" fontId="2" fillId="4" borderId="1" xfId="0" applyNumberFormat="1" applyFont="1" applyFill="1" applyBorder="1" applyAlignment="1">
      <alignment horizontal="center" vertical="top"/>
    </xf>
    <xf numFmtId="0" fontId="36" fillId="4" borderId="1" xfId="0" applyFont="1" applyFill="1" applyBorder="1" applyAlignment="1">
      <alignment vertical="top" wrapText="1"/>
    </xf>
    <xf numFmtId="49" fontId="5" fillId="4" borderId="5" xfId="0" applyNumberFormat="1" applyFont="1" applyFill="1" applyBorder="1" applyAlignment="1">
      <alignment horizontal="center" vertical="top"/>
    </xf>
    <xf numFmtId="4" fontId="8" fillId="4" borderId="1" xfId="0" applyNumberFormat="1" applyFont="1" applyFill="1" applyBorder="1" applyAlignment="1">
      <alignment horizontal="center" vertical="top"/>
    </xf>
    <xf numFmtId="4" fontId="2" fillId="4" borderId="1" xfId="0" applyNumberFormat="1" applyFont="1" applyFill="1" applyBorder="1" applyAlignment="1">
      <alignment horizontal="center" vertical="top"/>
    </xf>
    <xf numFmtId="0" fontId="35" fillId="4" borderId="1" xfId="0" applyFont="1" applyFill="1" applyBorder="1" applyAlignment="1">
      <alignment horizontal="center" vertical="top" wrapText="1"/>
    </xf>
    <xf numFmtId="49" fontId="22" fillId="4" borderId="1" xfId="0" applyNumberFormat="1" applyFont="1" applyFill="1" applyBorder="1" applyAlignment="1">
      <alignment horizontal="center" vertical="top"/>
    </xf>
    <xf numFmtId="49" fontId="23" fillId="4" borderId="3" xfId="0" applyNumberFormat="1" applyFont="1" applyFill="1" applyBorder="1" applyAlignment="1">
      <alignment horizontal="center" vertical="top"/>
    </xf>
    <xf numFmtId="0" fontId="35" fillId="4" borderId="1" xfId="0" applyFont="1" applyFill="1" applyBorder="1" applyAlignment="1">
      <alignment horizontal="left" vertical="center" wrapText="1"/>
    </xf>
    <xf numFmtId="0" fontId="36" fillId="4" borderId="1" xfId="0" applyFont="1" applyFill="1" applyBorder="1" applyAlignment="1">
      <alignment horizontal="left" vertical="top" wrapText="1"/>
    </xf>
    <xf numFmtId="0" fontId="8" fillId="4" borderId="0" xfId="0" applyFont="1" applyFill="1" applyBorder="1" applyAlignment="1">
      <alignment vertical="top"/>
    </xf>
    <xf numFmtId="0" fontId="36" fillId="4" borderId="3" xfId="0" applyFont="1" applyFill="1" applyBorder="1" applyAlignment="1">
      <alignment vertical="top" wrapText="1"/>
    </xf>
    <xf numFmtId="167"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25" fillId="4" borderId="5" xfId="0" applyNumberFormat="1" applyFont="1" applyFill="1" applyBorder="1" applyAlignment="1">
      <alignment horizontal="center" vertical="top"/>
    </xf>
    <xf numFmtId="0" fontId="41" fillId="4" borderId="0" xfId="0" applyFont="1" applyFill="1"/>
    <xf numFmtId="49" fontId="25" fillId="4" borderId="4" xfId="0" applyNumberFormat="1" applyFont="1" applyFill="1" applyBorder="1" applyAlignment="1">
      <alignment horizontal="center" vertical="top"/>
    </xf>
    <xf numFmtId="1" fontId="2" fillId="4" borderId="1" xfId="0" applyNumberFormat="1" applyFont="1" applyFill="1" applyBorder="1" applyAlignment="1">
      <alignment horizontal="center" vertical="top"/>
    </xf>
    <xf numFmtId="0" fontId="8" fillId="4" borderId="0" xfId="0" applyFont="1" applyFill="1" applyAlignment="1">
      <alignment horizontal="left" vertical="top"/>
    </xf>
    <xf numFmtId="0" fontId="8" fillId="4" borderId="0" xfId="0" applyFont="1" applyFill="1" applyAlignment="1">
      <alignment horizontal="center" vertical="top"/>
    </xf>
    <xf numFmtId="3" fontId="8" fillId="4" borderId="0" xfId="0" applyNumberFormat="1" applyFont="1" applyFill="1" applyAlignment="1">
      <alignment horizontal="center" vertical="top"/>
    </xf>
    <xf numFmtId="49" fontId="8" fillId="4" borderId="0" xfId="0" applyNumberFormat="1" applyFont="1" applyFill="1" applyAlignment="1">
      <alignment horizontal="center" vertical="top"/>
    </xf>
    <xf numFmtId="166" fontId="42" fillId="0" borderId="1" xfId="0" applyNumberFormat="1" applyFont="1" applyBorder="1" applyAlignment="1">
      <alignment horizontal="right" vertical="top" wrapText="1"/>
    </xf>
    <xf numFmtId="4" fontId="42" fillId="0" borderId="1" xfId="0" applyNumberFormat="1" applyFont="1" applyFill="1" applyBorder="1" applyAlignment="1">
      <alignment horizontal="right" vertical="top" wrapText="1"/>
    </xf>
    <xf numFmtId="4" fontId="8" fillId="5" borderId="0" xfId="0" applyNumberFormat="1" applyFont="1" applyFill="1" applyAlignment="1">
      <alignment horizontal="right" vertical="top" wrapText="1"/>
    </xf>
    <xf numFmtId="4" fontId="2" fillId="5" borderId="1" xfId="0" applyNumberFormat="1" applyFont="1" applyFill="1" applyBorder="1" applyAlignment="1">
      <alignment horizontal="center" vertical="top" wrapText="1"/>
    </xf>
    <xf numFmtId="166" fontId="4" fillId="5" borderId="1" xfId="0" applyNumberFormat="1" applyFont="1" applyFill="1" applyBorder="1" applyAlignment="1">
      <alignment horizontal="right" vertical="top" wrapText="1"/>
    </xf>
    <xf numFmtId="166" fontId="7" fillId="5" borderId="1" xfId="0" applyNumberFormat="1" applyFont="1" applyFill="1" applyBorder="1" applyAlignment="1">
      <alignment horizontal="right" vertical="top" wrapText="1"/>
    </xf>
    <xf numFmtId="166" fontId="11" fillId="5" borderId="1" xfId="0" applyNumberFormat="1" applyFont="1" applyFill="1" applyBorder="1" applyAlignment="1">
      <alignment horizontal="right" vertical="top" wrapText="1"/>
    </xf>
    <xf numFmtId="166" fontId="3" fillId="5" borderId="1" xfId="0" applyNumberFormat="1" applyFont="1" applyFill="1" applyBorder="1" applyAlignment="1">
      <alignment horizontal="right" vertical="top" wrapText="1"/>
    </xf>
    <xf numFmtId="166" fontId="2" fillId="5" borderId="1" xfId="0" applyNumberFormat="1" applyFont="1" applyFill="1" applyBorder="1" applyAlignment="1">
      <alignment horizontal="right" vertical="top" wrapText="1"/>
    </xf>
    <xf numFmtId="166" fontId="8" fillId="5" borderId="1" xfId="0" applyNumberFormat="1" applyFont="1" applyFill="1" applyBorder="1" applyAlignment="1">
      <alignment horizontal="right" vertical="top" wrapText="1"/>
    </xf>
    <xf numFmtId="166" fontId="12" fillId="5" borderId="1" xfId="0" applyNumberFormat="1" applyFont="1" applyFill="1" applyBorder="1" applyAlignment="1">
      <alignment horizontal="right" vertical="top" wrapText="1"/>
    </xf>
    <xf numFmtId="166" fontId="5" fillId="5" borderId="1" xfId="0" applyNumberFormat="1" applyFont="1" applyFill="1" applyBorder="1" applyAlignment="1">
      <alignment horizontal="right" vertical="top" wrapText="1"/>
    </xf>
    <xf numFmtId="166" fontId="42" fillId="5" borderId="1" xfId="0" applyNumberFormat="1" applyFont="1" applyFill="1" applyBorder="1" applyAlignment="1">
      <alignment horizontal="right" vertical="top" wrapText="1"/>
    </xf>
    <xf numFmtId="4" fontId="9" fillId="5" borderId="0" xfId="0" applyNumberFormat="1" applyFont="1" applyFill="1" applyAlignment="1">
      <alignment horizontal="right" vertical="top" wrapText="1"/>
    </xf>
    <xf numFmtId="4" fontId="5" fillId="5" borderId="0" xfId="0" applyNumberFormat="1" applyFont="1" applyFill="1" applyAlignment="1">
      <alignment horizontal="right"/>
    </xf>
    <xf numFmtId="4" fontId="2" fillId="5" borderId="0" xfId="0" applyNumberFormat="1" applyFont="1" applyFill="1" applyAlignment="1">
      <alignment horizontal="right"/>
    </xf>
    <xf numFmtId="4" fontId="2"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right" vertical="top"/>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39" fillId="4" borderId="2" xfId="0" applyFont="1" applyFill="1" applyBorder="1" applyAlignment="1">
      <alignment vertical="center" wrapText="1"/>
    </xf>
    <xf numFmtId="0" fontId="39" fillId="4" borderId="2" xfId="0" applyFont="1" applyFill="1" applyBorder="1" applyAlignment="1">
      <alignment vertical="top" wrapText="1"/>
    </xf>
    <xf numFmtId="0" fontId="0" fillId="4" borderId="0" xfId="0" applyFont="1" applyFill="1"/>
    <xf numFmtId="0" fontId="35" fillId="4" borderId="2" xfId="0" applyFont="1" applyFill="1" applyBorder="1" applyAlignment="1">
      <alignment vertical="top" wrapText="1"/>
    </xf>
    <xf numFmtId="0" fontId="2" fillId="4" borderId="2" xfId="0" applyFont="1" applyFill="1" applyBorder="1" applyAlignment="1">
      <alignment horizontal="left" vertical="top" wrapText="1"/>
    </xf>
    <xf numFmtId="49" fontId="22" fillId="4" borderId="5" xfId="0" applyNumberFormat="1" applyFont="1" applyFill="1" applyBorder="1" applyAlignment="1">
      <alignment horizontal="center" vertical="top"/>
    </xf>
    <xf numFmtId="0" fontId="36" fillId="4" borderId="2" xfId="0" applyFont="1" applyFill="1" applyBorder="1" applyAlignment="1">
      <alignment vertical="center" wrapText="1"/>
    </xf>
    <xf numFmtId="0" fontId="36" fillId="4" borderId="2" xfId="0" applyFont="1" applyFill="1" applyBorder="1" applyAlignment="1">
      <alignment vertical="top" wrapText="1"/>
    </xf>
    <xf numFmtId="49" fontId="5" fillId="6" borderId="5" xfId="0" applyNumberFormat="1" applyFont="1" applyFill="1" applyBorder="1" applyAlignment="1">
      <alignment horizontal="center" vertical="top" wrapText="1"/>
    </xf>
    <xf numFmtId="49" fontId="24" fillId="4" borderId="3" xfId="0" applyNumberFormat="1" applyFont="1" applyFill="1" applyBorder="1" applyAlignment="1">
      <alignment horizontal="center" vertical="top" wrapText="1"/>
    </xf>
    <xf numFmtId="49" fontId="24" fillId="4" borderId="5" xfId="0" applyNumberFormat="1" applyFont="1" applyFill="1" applyBorder="1" applyAlignment="1">
      <alignment horizontal="center" vertical="top" wrapText="1"/>
    </xf>
    <xf numFmtId="49" fontId="24" fillId="4" borderId="4" xfId="0" applyNumberFormat="1" applyFont="1" applyFill="1" applyBorder="1" applyAlignment="1">
      <alignment horizontal="center" vertical="top" wrapText="1"/>
    </xf>
    <xf numFmtId="0" fontId="24" fillId="4" borderId="1" xfId="0" applyFont="1" applyFill="1" applyBorder="1" applyAlignment="1">
      <alignment horizontal="center" vertical="top" wrapText="1"/>
    </xf>
    <xf numFmtId="49" fontId="5" fillId="6" borderId="4" xfId="0" applyNumberFormat="1" applyFont="1" applyFill="1" applyBorder="1" applyAlignment="1">
      <alignment horizontal="center" vertical="top"/>
    </xf>
    <xf numFmtId="0" fontId="0" fillId="4" borderId="0" xfId="0" applyFill="1" applyAlignment="1">
      <alignment vertical="top"/>
    </xf>
    <xf numFmtId="0" fontId="36" fillId="4" borderId="0" xfId="0" applyFont="1" applyFill="1"/>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43" fillId="4" borderId="0" xfId="0" applyFont="1" applyFill="1"/>
    <xf numFmtId="0" fontId="39" fillId="4" borderId="0" xfId="0" applyFont="1" applyFill="1"/>
    <xf numFmtId="49" fontId="5" fillId="6" borderId="5" xfId="0" applyNumberFormat="1" applyFont="1" applyFill="1" applyBorder="1" applyAlignment="1">
      <alignment horizontal="center" vertical="top"/>
    </xf>
    <xf numFmtId="4" fontId="2" fillId="4" borderId="1" xfId="0" applyNumberFormat="1" applyFont="1" applyFill="1" applyBorder="1" applyAlignment="1">
      <alignment horizontal="center" vertical="top" wrapText="1"/>
    </xf>
    <xf numFmtId="0" fontId="5" fillId="4" borderId="10" xfId="0" applyFont="1" applyFill="1" applyBorder="1" applyAlignment="1">
      <alignment horizontal="left" vertical="top" wrapText="1"/>
    </xf>
    <xf numFmtId="0" fontId="8" fillId="4" borderId="3" xfId="0" applyFont="1" applyFill="1" applyBorder="1" applyAlignment="1">
      <alignment vertical="top" wrapText="1"/>
    </xf>
    <xf numFmtId="49" fontId="24" fillId="6" borderId="1" xfId="0" applyNumberFormat="1" applyFont="1" applyFill="1" applyBorder="1" applyAlignment="1">
      <alignment horizontal="center" vertical="top"/>
    </xf>
    <xf numFmtId="0" fontId="41" fillId="0" borderId="0" xfId="0" applyFont="1" applyFill="1"/>
    <xf numFmtId="0" fontId="0" fillId="0" borderId="0" xfId="0" applyFill="1"/>
    <xf numFmtId="0" fontId="23" fillId="0" borderId="0" xfId="0" applyFont="1" applyFill="1" applyAlignment="1">
      <alignment vertical="top"/>
    </xf>
    <xf numFmtId="49" fontId="24" fillId="0" borderId="1" xfId="0" applyNumberFormat="1" applyFont="1" applyFill="1" applyBorder="1" applyAlignment="1">
      <alignment horizontal="center" vertical="top"/>
    </xf>
    <xf numFmtId="0" fontId="2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7" borderId="5"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right" vertical="top"/>
    </xf>
    <xf numFmtId="4" fontId="2" fillId="0" borderId="1" xfId="0" applyNumberFormat="1" applyFont="1" applyFill="1" applyBorder="1" applyAlignment="1">
      <alignment horizontal="right" vertical="center" wrapText="1"/>
    </xf>
    <xf numFmtId="0" fontId="0" fillId="0" borderId="0" xfId="0" applyAlignment="1">
      <alignment horizontal="center" vertical="top"/>
    </xf>
    <xf numFmtId="0" fontId="0" fillId="0" borderId="0" xfId="0" applyAlignment="1">
      <alignment vertical="top"/>
    </xf>
    <xf numFmtId="4"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right"/>
    </xf>
    <xf numFmtId="4" fontId="0" fillId="0" borderId="1" xfId="0" applyNumberFormat="1" applyBorder="1" applyAlignment="1">
      <alignment horizontal="center"/>
    </xf>
    <xf numFmtId="4" fontId="0" fillId="0" borderId="1" xfId="0" applyNumberFormat="1" applyBorder="1"/>
    <xf numFmtId="4" fontId="0" fillId="0" borderId="0" xfId="0" applyNumberFormat="1" applyAlignment="1"/>
    <xf numFmtId="4" fontId="0" fillId="0" borderId="1" xfId="0" applyNumberFormat="1" applyBorder="1" applyAlignment="1"/>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4" fontId="44" fillId="0" borderId="11" xfId="0" applyNumberFormat="1" applyFont="1" applyBorder="1" applyAlignment="1">
      <alignment horizontal="center" vertical="center"/>
    </xf>
    <xf numFmtId="9" fontId="31" fillId="0" borderId="0" xfId="2" applyFont="1"/>
    <xf numFmtId="4" fontId="26" fillId="0" borderId="1" xfId="0" applyNumberFormat="1" applyFont="1" applyFill="1" applyBorder="1" applyAlignment="1">
      <alignment horizontal="right" vertical="top" wrapText="1"/>
    </xf>
    <xf numFmtId="2" fontId="3" fillId="0" borderId="1"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 fontId="26" fillId="0" borderId="9" xfId="0" applyNumberFormat="1" applyFont="1" applyFill="1" applyBorder="1" applyAlignment="1">
      <alignment horizontal="right" vertical="top" wrapText="1"/>
    </xf>
    <xf numFmtId="4" fontId="2" fillId="0" borderId="9" xfId="0" applyNumberFormat="1" applyFont="1" applyFill="1" applyBorder="1" applyAlignment="1">
      <alignment horizontal="center" vertical="top" wrapText="1"/>
    </xf>
    <xf numFmtId="4" fontId="8" fillId="0" borderId="0" xfId="0" applyNumberFormat="1" applyFont="1" applyFill="1" applyBorder="1" applyAlignment="1">
      <alignment horizontal="right" vertical="top" wrapText="1"/>
    </xf>
    <xf numFmtId="4" fontId="9" fillId="0" borderId="0" xfId="0" applyNumberFormat="1" applyFont="1" applyFill="1" applyAlignment="1">
      <alignment horizontal="right" vertical="top" wrapText="1"/>
    </xf>
    <xf numFmtId="0" fontId="2" fillId="0" borderId="1" xfId="0" applyFont="1" applyFill="1" applyBorder="1" applyAlignment="1">
      <alignment horizontal="center" vertical="top" wrapText="1"/>
    </xf>
    <xf numFmtId="0" fontId="45" fillId="4" borderId="0" xfId="0" applyFont="1" applyFill="1" applyAlignment="1">
      <alignment vertical="top" wrapText="1"/>
    </xf>
    <xf numFmtId="0" fontId="46" fillId="4" borderId="0" xfId="0" applyFont="1" applyFill="1" applyAlignment="1">
      <alignment vertical="top" wrapText="1"/>
    </xf>
    <xf numFmtId="0" fontId="47" fillId="4" borderId="0" xfId="0" applyFont="1" applyFill="1" applyAlignment="1">
      <alignment vertical="top" wrapText="1"/>
    </xf>
    <xf numFmtId="0" fontId="48" fillId="4" borderId="0" xfId="0" applyFont="1" applyFill="1" applyAlignment="1">
      <alignment vertical="top" wrapText="1"/>
    </xf>
    <xf numFmtId="0" fontId="49" fillId="4" borderId="0" xfId="0" applyFont="1" applyFill="1" applyAlignment="1">
      <alignment vertical="top" wrapText="1"/>
    </xf>
    <xf numFmtId="0" fontId="49" fillId="0" borderId="0" xfId="0" applyFont="1" applyFill="1" applyAlignment="1">
      <alignment vertical="top" wrapText="1"/>
    </xf>
    <xf numFmtId="0" fontId="2" fillId="0" borderId="1" xfId="0" applyFont="1" applyFill="1" applyBorder="1" applyAlignment="1">
      <alignment horizontal="left" vertical="top" wrapText="1"/>
    </xf>
    <xf numFmtId="0" fontId="8" fillId="0" borderId="1" xfId="0" applyFont="1" applyFill="1" applyBorder="1" applyAlignment="1">
      <alignment vertical="top" wrapText="1"/>
    </xf>
    <xf numFmtId="3" fontId="2" fillId="4" borderId="1"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169"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xf>
    <xf numFmtId="4" fontId="2" fillId="4" borderId="3" xfId="0" applyNumberFormat="1" applyFont="1" applyFill="1" applyBorder="1" applyAlignment="1">
      <alignment horizontal="center" vertical="top"/>
    </xf>
    <xf numFmtId="0" fontId="2" fillId="0" borderId="1" xfId="0" applyFont="1" applyFill="1" applyBorder="1" applyAlignment="1">
      <alignment horizontal="center" vertical="top"/>
    </xf>
    <xf numFmtId="0" fontId="5" fillId="0" borderId="2" xfId="0" applyFont="1" applyFill="1" applyBorder="1" applyAlignment="1">
      <alignment horizontal="left" vertical="top" wrapText="1"/>
    </xf>
    <xf numFmtId="4"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45" fillId="0" borderId="0" xfId="0" applyFont="1" applyFill="1" applyAlignment="1">
      <alignment vertical="top" wrapText="1"/>
    </xf>
    <xf numFmtId="0" fontId="8" fillId="0" borderId="0" xfId="0" applyFont="1" applyFill="1" applyAlignment="1">
      <alignment vertical="top"/>
    </xf>
    <xf numFmtId="0" fontId="10" fillId="0" borderId="2" xfId="0" applyFont="1" applyFill="1" applyBorder="1" applyAlignment="1">
      <alignment horizontal="left" vertical="top" wrapText="1"/>
    </xf>
    <xf numFmtId="1" fontId="8" fillId="0" borderId="1" xfId="0" applyNumberFormat="1" applyFont="1" applyFill="1" applyBorder="1" applyAlignment="1">
      <alignment horizontal="center" vertical="top"/>
    </xf>
    <xf numFmtId="49" fontId="22" fillId="0" borderId="4" xfId="0" applyNumberFormat="1" applyFont="1" applyFill="1" applyBorder="1" applyAlignment="1">
      <alignment horizontal="center" vertical="top"/>
    </xf>
    <xf numFmtId="0" fontId="24" fillId="0" borderId="2"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35" fillId="0" borderId="1" xfId="0" applyFont="1" applyFill="1" applyBorder="1" applyAlignment="1">
      <alignment vertical="center" wrapText="1"/>
    </xf>
    <xf numFmtId="0" fontId="36" fillId="0" borderId="1" xfId="0" applyFont="1" applyFill="1" applyBorder="1" applyAlignment="1">
      <alignment horizontal="center" vertical="top" wrapText="1"/>
    </xf>
    <xf numFmtId="0" fontId="35" fillId="0" borderId="1" xfId="0" applyFont="1" applyFill="1" applyBorder="1" applyAlignment="1">
      <alignment vertical="top" wrapText="1"/>
    </xf>
    <xf numFmtId="0" fontId="22" fillId="0" borderId="0" xfId="0" applyFont="1" applyFill="1" applyAlignment="1">
      <alignment vertical="top"/>
    </xf>
    <xf numFmtId="1" fontId="2" fillId="0" borderId="1" xfId="0" applyNumberFormat="1" applyFont="1" applyFill="1" applyBorder="1" applyAlignment="1">
      <alignment horizontal="center" vertical="top"/>
    </xf>
    <xf numFmtId="49" fontId="22" fillId="0" borderId="3" xfId="0" applyNumberFormat="1" applyFont="1" applyFill="1" applyBorder="1" applyAlignment="1">
      <alignment horizontal="center" vertical="top"/>
    </xf>
    <xf numFmtId="0" fontId="35" fillId="0" borderId="2" xfId="0" applyFont="1" applyFill="1" applyBorder="1" applyAlignment="1">
      <alignment vertical="center" wrapText="1"/>
    </xf>
    <xf numFmtId="166" fontId="2" fillId="0" borderId="2" xfId="0" applyNumberFormat="1" applyFont="1" applyFill="1" applyBorder="1" applyAlignment="1">
      <alignment horizontal="center" vertical="top"/>
    </xf>
    <xf numFmtId="0" fontId="33" fillId="0" borderId="0" xfId="1" applyFill="1" applyAlignment="1">
      <alignment vertical="top" wrapText="1"/>
    </xf>
    <xf numFmtId="0" fontId="35" fillId="0" borderId="2" xfId="0" applyFont="1" applyFill="1" applyBorder="1" applyAlignment="1">
      <alignment vertical="top" wrapText="1"/>
    </xf>
    <xf numFmtId="2" fontId="37"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xf>
    <xf numFmtId="49" fontId="22" fillId="0" borderId="5" xfId="0" applyNumberFormat="1" applyFont="1" applyFill="1" applyBorder="1" applyAlignment="1">
      <alignment horizontal="center" vertical="top"/>
    </xf>
    <xf numFmtId="1" fontId="2" fillId="0" borderId="1" xfId="0" applyNumberFormat="1" applyFont="1" applyFill="1" applyBorder="1" applyAlignment="1">
      <alignment horizontal="center" vertical="top" wrapText="1"/>
    </xf>
    <xf numFmtId="0" fontId="45" fillId="0" borderId="0" xfId="1" applyFont="1" applyFill="1" applyAlignment="1">
      <alignment vertical="top" wrapText="1"/>
    </xf>
    <xf numFmtId="0" fontId="0" fillId="0" borderId="0" xfId="0" applyFont="1" applyFill="1"/>
    <xf numFmtId="0" fontId="2" fillId="0" borderId="2" xfId="0" applyFont="1" applyFill="1" applyBorder="1" applyAlignment="1">
      <alignment horizontal="left" vertical="top" wrapText="1"/>
    </xf>
    <xf numFmtId="4" fontId="8" fillId="0" borderId="2"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0" fontId="8" fillId="0" borderId="1" xfId="0" applyFont="1" applyFill="1" applyBorder="1" applyAlignment="1">
      <alignment vertical="top"/>
    </xf>
    <xf numFmtId="1" fontId="8" fillId="0" borderId="2" xfId="0" applyNumberFormat="1" applyFont="1" applyFill="1" applyBorder="1" applyAlignment="1">
      <alignment horizontal="center" vertical="top"/>
    </xf>
    <xf numFmtId="0" fontId="24" fillId="0" borderId="1" xfId="0" applyFont="1" applyFill="1" applyBorder="1" applyAlignment="1">
      <alignment horizontal="center" vertical="top" wrapText="1"/>
    </xf>
    <xf numFmtId="0" fontId="8" fillId="0" borderId="2" xfId="0" applyFont="1" applyFill="1" applyBorder="1" applyAlignment="1">
      <alignment vertical="top" wrapText="1"/>
    </xf>
    <xf numFmtId="0" fontId="36" fillId="0" borderId="2" xfId="0" applyFont="1" applyFill="1" applyBorder="1" applyAlignment="1">
      <alignment horizontal="left" vertical="top" wrapText="1"/>
    </xf>
    <xf numFmtId="49" fontId="24" fillId="0" borderId="3" xfId="0" applyNumberFormat="1" applyFont="1" applyFill="1" applyBorder="1" applyAlignment="1">
      <alignment horizontal="center" vertical="top" wrapText="1"/>
    </xf>
    <xf numFmtId="49" fontId="24" fillId="0" borderId="4" xfId="0" applyNumberFormat="1" applyFont="1" applyFill="1" applyBorder="1" applyAlignment="1">
      <alignment horizontal="center" vertical="top" wrapText="1"/>
    </xf>
    <xf numFmtId="0" fontId="36" fillId="0" borderId="2" xfId="0" applyFont="1" applyFill="1" applyBorder="1" applyAlignment="1">
      <alignment vertical="top" wrapText="1"/>
    </xf>
    <xf numFmtId="49" fontId="24" fillId="0" borderId="5"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2" fillId="0" borderId="4"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36" fillId="0" borderId="2" xfId="0" applyFont="1" applyFill="1" applyBorder="1" applyAlignment="1">
      <alignment vertical="center" wrapText="1"/>
    </xf>
    <xf numFmtId="0" fontId="2" fillId="0" borderId="2" xfId="0" applyFont="1" applyFill="1" applyBorder="1" applyAlignment="1">
      <alignment horizontal="center" vertical="top"/>
    </xf>
    <xf numFmtId="169" fontId="2" fillId="0" borderId="2" xfId="0" applyNumberFormat="1" applyFont="1" applyFill="1" applyBorder="1" applyAlignment="1">
      <alignment horizontal="center" vertical="top"/>
    </xf>
    <xf numFmtId="0" fontId="46" fillId="0" borderId="0" xfId="0" applyFont="1" applyFill="1" applyAlignment="1">
      <alignment vertical="top" wrapText="1"/>
    </xf>
    <xf numFmtId="0" fontId="36" fillId="0" borderId="0" xfId="0" applyFont="1" applyFill="1"/>
    <xf numFmtId="2" fontId="2" fillId="0" borderId="1"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5" fillId="0" borderId="10" xfId="0" applyFont="1" applyFill="1" applyBorder="1" applyAlignment="1">
      <alignment horizontal="left" vertical="top" wrapText="1"/>
    </xf>
    <xf numFmtId="4" fontId="8" fillId="0" borderId="3" xfId="0" applyNumberFormat="1" applyFont="1" applyFill="1" applyBorder="1" applyAlignment="1">
      <alignment horizontal="center" vertical="top"/>
    </xf>
    <xf numFmtId="3" fontId="8" fillId="0" borderId="3" xfId="0" applyNumberFormat="1" applyFont="1" applyFill="1" applyBorder="1" applyAlignment="1">
      <alignment horizontal="center" vertical="top"/>
    </xf>
    <xf numFmtId="0" fontId="8" fillId="0" borderId="3" xfId="0" applyFont="1" applyFill="1" applyBorder="1" applyAlignment="1">
      <alignment vertical="top" wrapText="1"/>
    </xf>
    <xf numFmtId="49" fontId="2" fillId="0" borderId="1" xfId="0" applyNumberFormat="1" applyFont="1" applyFill="1" applyBorder="1" applyAlignment="1">
      <alignment horizontal="center" vertical="top"/>
    </xf>
    <xf numFmtId="4" fontId="3" fillId="0" borderId="3"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4" fontId="26" fillId="0" borderId="3" xfId="0" applyNumberFormat="1" applyFont="1" applyFill="1" applyBorder="1" applyAlignment="1">
      <alignment horizontal="righ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1" fillId="4" borderId="4" xfId="0" applyNumberFormat="1" applyFont="1" applyFill="1" applyBorder="1" applyAlignment="1">
      <alignment horizontal="center" vertical="top" wrapText="1"/>
    </xf>
    <xf numFmtId="49" fontId="22" fillId="4" borderId="6" xfId="0" applyNumberFormat="1" applyFont="1" applyFill="1" applyBorder="1" applyAlignment="1">
      <alignment horizontal="center" vertical="top"/>
    </xf>
    <xf numFmtId="167" fontId="8" fillId="0" borderId="1" xfId="0" applyNumberFormat="1" applyFont="1" applyFill="1" applyBorder="1" applyAlignment="1">
      <alignment horizontal="center" vertical="top"/>
    </xf>
    <xf numFmtId="169" fontId="2" fillId="0" borderId="1" xfId="0" applyNumberFormat="1" applyFont="1" applyFill="1" applyBorder="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horizontal="left" vertical="top"/>
    </xf>
    <xf numFmtId="0" fontId="8" fillId="0" borderId="0" xfId="0" applyFont="1" applyFill="1" applyAlignment="1">
      <alignment horizontal="center" vertical="top"/>
    </xf>
    <xf numFmtId="3" fontId="8" fillId="0" borderId="0" xfId="0" applyNumberFormat="1" applyFont="1" applyFill="1" applyAlignment="1">
      <alignment horizontal="center" vertical="top"/>
    </xf>
    <xf numFmtId="2" fontId="8" fillId="4" borderId="2" xfId="0" applyNumberFormat="1" applyFont="1" applyFill="1" applyBorder="1" applyAlignment="1">
      <alignment horizontal="center" vertical="top"/>
    </xf>
    <xf numFmtId="0" fontId="25" fillId="0" borderId="1" xfId="0" applyFont="1" applyFill="1" applyBorder="1" applyAlignment="1">
      <alignment horizontal="center" vertical="top"/>
    </xf>
    <xf numFmtId="166" fontId="2" fillId="0" borderId="3" xfId="0" applyNumberFormat="1" applyFont="1" applyFill="1" applyBorder="1" applyAlignment="1">
      <alignment horizontal="center" vertical="top"/>
    </xf>
    <xf numFmtId="167" fontId="8" fillId="0" borderId="0" xfId="0" applyNumberFormat="1" applyFont="1" applyFill="1" applyAlignment="1">
      <alignment horizontal="right" vertical="top" wrapText="1"/>
    </xf>
    <xf numFmtId="0" fontId="2" fillId="0" borderId="12" xfId="0"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67" fontId="2" fillId="0" borderId="3" xfId="0" applyNumberFormat="1" applyFont="1" applyFill="1" applyBorder="1" applyAlignment="1">
      <alignment horizontal="center" vertical="top"/>
    </xf>
    <xf numFmtId="0" fontId="27" fillId="0" borderId="0" xfId="0" applyFont="1" applyFill="1" applyAlignment="1">
      <alignment vertical="top"/>
    </xf>
    <xf numFmtId="0" fontId="50" fillId="0" borderId="0" xfId="0" applyFont="1" applyFill="1" applyAlignment="1">
      <alignment vertical="top" wrapText="1"/>
    </xf>
    <xf numFmtId="0" fontId="51" fillId="0" borderId="0" xfId="0" applyFont="1" applyFill="1"/>
    <xf numFmtId="0" fontId="28" fillId="0" borderId="0" xfId="0" applyFont="1" applyFill="1" applyAlignment="1">
      <alignment vertical="top"/>
    </xf>
    <xf numFmtId="0" fontId="8" fillId="4" borderId="2" xfId="0" applyFont="1" applyFill="1" applyBorder="1" applyAlignment="1">
      <alignmen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2" fillId="0" borderId="1" xfId="0" applyFont="1" applyFill="1" applyBorder="1" applyAlignment="1">
      <alignment horizontal="center" vertical="top" wrapText="1"/>
    </xf>
    <xf numFmtId="166" fontId="52" fillId="0" borderId="1"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53" fillId="0" borderId="1" xfId="0" applyNumberFormat="1" applyFont="1" applyFill="1" applyBorder="1" applyAlignment="1">
      <alignment horizontal="right" vertical="top" wrapText="1"/>
    </xf>
    <xf numFmtId="2" fontId="54" fillId="0" borderId="1" xfId="0" applyNumberFormat="1" applyFont="1" applyFill="1" applyBorder="1" applyAlignment="1">
      <alignment horizontal="right" vertical="top" wrapText="1"/>
    </xf>
    <xf numFmtId="4" fontId="54" fillId="0" borderId="1" xfId="0" applyNumberFormat="1" applyFont="1" applyFill="1" applyBorder="1" applyAlignment="1">
      <alignment horizontal="right" vertical="top" wrapText="1"/>
    </xf>
    <xf numFmtId="4" fontId="54" fillId="0" borderId="3" xfId="0" applyNumberFormat="1" applyFont="1" applyFill="1" applyBorder="1" applyAlignment="1">
      <alignment horizontal="right" vertical="top" wrapText="1"/>
    </xf>
    <xf numFmtId="4" fontId="54" fillId="0" borderId="9" xfId="0" applyNumberFormat="1" applyFont="1" applyFill="1" applyBorder="1" applyAlignment="1">
      <alignment horizontal="right" vertical="top" wrapText="1"/>
    </xf>
    <xf numFmtId="4" fontId="53" fillId="0" borderId="5" xfId="0" applyNumberFormat="1" applyFont="1" applyFill="1" applyBorder="1" applyAlignment="1">
      <alignment horizontal="right" vertical="top" wrapText="1"/>
    </xf>
    <xf numFmtId="4" fontId="54" fillId="0" borderId="4" xfId="0" applyNumberFormat="1" applyFont="1" applyFill="1" applyBorder="1" applyAlignment="1">
      <alignment horizontal="right" vertical="top" wrapText="1"/>
    </xf>
    <xf numFmtId="0" fontId="2" fillId="4" borderId="1" xfId="0" applyFont="1" applyFill="1" applyBorder="1" applyAlignment="1">
      <alignment vertical="top" wrapText="1"/>
    </xf>
    <xf numFmtId="0" fontId="2" fillId="0" borderId="1" xfId="0" applyFont="1" applyFill="1" applyBorder="1" applyAlignment="1">
      <alignment vertical="top" wrapText="1"/>
    </xf>
    <xf numFmtId="3" fontId="2" fillId="0" borderId="2" xfId="0" applyNumberFormat="1" applyFont="1" applyFill="1" applyBorder="1" applyAlignment="1">
      <alignment horizontal="center" vertical="top"/>
    </xf>
    <xf numFmtId="0" fontId="5" fillId="4" borderId="2" xfId="0" applyFont="1" applyFill="1" applyBorder="1" applyAlignment="1">
      <alignment vertical="top" wrapText="1"/>
    </xf>
    <xf numFmtId="0" fontId="5" fillId="0" borderId="2" xfId="0" applyFont="1" applyFill="1" applyBorder="1" applyAlignment="1">
      <alignment vertical="top" wrapText="1"/>
    </xf>
    <xf numFmtId="0" fontId="24" fillId="0" borderId="1" xfId="0" applyFont="1" applyFill="1" applyBorder="1" applyAlignment="1">
      <alignment horizontal="center" vertical="top"/>
    </xf>
    <xf numFmtId="0" fontId="24" fillId="4"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4" borderId="1" xfId="0" applyFont="1" applyFill="1" applyBorder="1" applyAlignment="1">
      <alignment vertical="top" wrapText="1"/>
    </xf>
    <xf numFmtId="0" fontId="2" fillId="0" borderId="3" xfId="0" applyFont="1" applyFill="1" applyBorder="1" applyAlignment="1">
      <alignment vertical="top" wrapText="1"/>
    </xf>
    <xf numFmtId="0" fontId="2" fillId="4" borderId="3" xfId="0" applyFont="1" applyFill="1" applyBorder="1" applyAlignment="1">
      <alignment vertical="top" wrapText="1"/>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27" fillId="0" borderId="0" xfId="0" applyFont="1" applyFill="1" applyAlignment="1">
      <alignment horizontal="left" vertical="top"/>
    </xf>
    <xf numFmtId="0" fontId="27" fillId="0" borderId="0" xfId="0" applyFont="1" applyFill="1" applyAlignment="1">
      <alignment horizontal="center" vertical="top"/>
    </xf>
    <xf numFmtId="0" fontId="28" fillId="0" borderId="0" xfId="0" applyFont="1" applyFill="1" applyAlignment="1">
      <alignment horizontal="left" vertical="top"/>
    </xf>
    <xf numFmtId="0" fontId="28" fillId="0" borderId="0" xfId="0" applyFont="1" applyFill="1" applyAlignment="1">
      <alignment horizontal="center" vertical="top"/>
    </xf>
    <xf numFmtId="0" fontId="8" fillId="0" borderId="0" xfId="0" applyFont="1" applyFill="1" applyAlignment="1">
      <alignment horizontal="center" vertical="top" wrapText="1"/>
    </xf>
    <xf numFmtId="49" fontId="8"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9" fontId="53" fillId="0" borderId="1" xfId="0" applyNumberFormat="1" applyFont="1" applyFill="1" applyBorder="1" applyAlignment="1">
      <alignment horizontal="center" vertical="top" wrapText="1"/>
    </xf>
    <xf numFmtId="0" fontId="53" fillId="0" borderId="1" xfId="0" applyFont="1" applyFill="1" applyBorder="1" applyAlignment="1">
      <alignment vertical="top" wrapText="1"/>
    </xf>
    <xf numFmtId="0" fontId="53" fillId="0" borderId="1" xfId="0" applyFont="1" applyFill="1" applyBorder="1" applyAlignment="1">
      <alignment horizontal="center" vertical="top" wrapText="1"/>
    </xf>
    <xf numFmtId="2" fontId="53" fillId="0" borderId="1" xfId="0" applyNumberFormat="1" applyFont="1" applyFill="1" applyBorder="1" applyAlignment="1">
      <alignment horizontal="right" vertical="top" wrapText="1"/>
    </xf>
    <xf numFmtId="0" fontId="53" fillId="0" borderId="0" xfId="0" applyFont="1" applyFill="1" applyBorder="1" applyAlignment="1">
      <alignment vertical="top" wrapText="1"/>
    </xf>
    <xf numFmtId="9" fontId="53" fillId="0" borderId="0" xfId="2" applyFont="1" applyFill="1" applyBorder="1" applyAlignment="1">
      <alignment vertical="top" wrapText="1"/>
    </xf>
    <xf numFmtId="0" fontId="53" fillId="0" borderId="0" xfId="0" applyFont="1" applyFill="1" applyAlignment="1">
      <alignment vertical="top" wrapText="1"/>
    </xf>
    <xf numFmtId="49" fontId="54" fillId="0" borderId="1" xfId="0" applyNumberFormat="1" applyFont="1" applyFill="1" applyBorder="1" applyAlignment="1">
      <alignment horizontal="center" vertical="top" wrapText="1"/>
    </xf>
    <xf numFmtId="0" fontId="54" fillId="0" borderId="1" xfId="0" applyFont="1" applyFill="1" applyBorder="1" applyAlignment="1">
      <alignment vertical="top" wrapText="1"/>
    </xf>
    <xf numFmtId="0" fontId="54" fillId="0" borderId="1" xfId="0" applyFont="1" applyFill="1" applyBorder="1" applyAlignment="1">
      <alignment horizontal="center" vertical="top" wrapText="1"/>
    </xf>
    <xf numFmtId="0" fontId="54" fillId="0" borderId="0" xfId="0" applyFont="1" applyFill="1" applyBorder="1" applyAlignment="1">
      <alignment vertical="top" wrapText="1"/>
    </xf>
    <xf numFmtId="0" fontId="54" fillId="0" borderId="0" xfId="0" applyFont="1" applyFill="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vertical="top" wrapText="1"/>
    </xf>
    <xf numFmtId="0" fontId="54" fillId="0" borderId="9" xfId="0" applyFont="1" applyFill="1" applyBorder="1" applyAlignment="1">
      <alignment horizontal="left" vertical="top" wrapText="1"/>
    </xf>
    <xf numFmtId="0" fontId="54" fillId="0" borderId="3" xfId="0" applyFont="1" applyFill="1" applyBorder="1" applyAlignment="1">
      <alignment horizontal="center" vertical="top" wrapText="1"/>
    </xf>
    <xf numFmtId="0" fontId="54" fillId="0" borderId="13" xfId="0" applyFont="1" applyFill="1" applyBorder="1" applyAlignment="1">
      <alignment horizontal="left" vertical="top" wrapText="1"/>
    </xf>
    <xf numFmtId="0" fontId="54"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9" xfId="0" applyFont="1" applyFill="1" applyBorder="1" applyAlignment="1">
      <alignment horizontal="left" vertical="top" wrapText="1"/>
    </xf>
    <xf numFmtId="0" fontId="54" fillId="0" borderId="1" xfId="0" applyFont="1" applyFill="1" applyBorder="1" applyAlignment="1">
      <alignment horizontal="left" vertical="top" wrapText="1"/>
    </xf>
    <xf numFmtId="0" fontId="55" fillId="0" borderId="13" xfId="0" applyFont="1" applyFill="1" applyBorder="1" applyAlignment="1">
      <alignment horizontal="center" vertical="top" wrapText="1"/>
    </xf>
    <xf numFmtId="0" fontId="53" fillId="0" borderId="1" xfId="0" applyFont="1" applyFill="1" applyBorder="1" applyAlignment="1">
      <alignment horizontal="left" vertical="top" wrapText="1"/>
    </xf>
    <xf numFmtId="9" fontId="54" fillId="0" borderId="0" xfId="2" applyFont="1" applyFill="1" applyBorder="1" applyAlignment="1">
      <alignment vertical="top" wrapText="1"/>
    </xf>
    <xf numFmtId="0" fontId="54" fillId="0" borderId="9" xfId="0" applyFont="1" applyFill="1" applyBorder="1" applyAlignment="1">
      <alignment vertical="top" wrapText="1"/>
    </xf>
    <xf numFmtId="0" fontId="3" fillId="0" borderId="9" xfId="0" applyFont="1" applyFill="1" applyBorder="1" applyAlignment="1">
      <alignment vertical="top" wrapText="1"/>
    </xf>
    <xf numFmtId="49" fontId="54" fillId="0" borderId="3" xfId="0" applyNumberFormat="1" applyFont="1" applyFill="1" applyBorder="1" applyAlignment="1">
      <alignment horizontal="center" vertical="top" wrapText="1"/>
    </xf>
    <xf numFmtId="0" fontId="54" fillId="0" borderId="3" xfId="0" applyFont="1" applyFill="1" applyBorder="1" applyAlignment="1">
      <alignment vertical="top" wrapText="1"/>
    </xf>
    <xf numFmtId="0" fontId="3" fillId="0" borderId="0" xfId="0" applyFont="1" applyFill="1" applyBorder="1"/>
    <xf numFmtId="9" fontId="3" fillId="0" borderId="0" xfId="2" applyFont="1" applyFill="1" applyBorder="1" applyAlignment="1">
      <alignment vertical="top" wrapText="1"/>
    </xf>
    <xf numFmtId="49" fontId="53" fillId="0" borderId="5" xfId="0" applyNumberFormat="1" applyFont="1" applyFill="1" applyBorder="1" applyAlignment="1">
      <alignment horizontal="center" vertical="top" wrapText="1"/>
    </xf>
    <xf numFmtId="0" fontId="53" fillId="0" borderId="5" xfId="0" applyFont="1" applyFill="1" applyBorder="1" applyAlignment="1">
      <alignment vertical="top" wrapText="1"/>
    </xf>
    <xf numFmtId="0" fontId="53" fillId="0" borderId="5" xfId="0"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lignment horizontal="center" vertical="top" wrapText="1"/>
    </xf>
    <xf numFmtId="0" fontId="54" fillId="0" borderId="0" xfId="0" applyFont="1" applyFill="1" applyBorder="1" applyAlignment="1">
      <alignment horizontal="right" vertical="top" wrapText="1"/>
    </xf>
    <xf numFmtId="0" fontId="26" fillId="0" borderId="9" xfId="0" applyFont="1" applyFill="1" applyBorder="1" applyAlignment="1">
      <alignment vertical="top" wrapText="1"/>
    </xf>
    <xf numFmtId="0" fontId="2" fillId="0" borderId="0" xfId="0" applyFont="1" applyFill="1" applyBorder="1" applyAlignment="1">
      <alignment horizontal="right" vertical="top" wrapText="1"/>
    </xf>
    <xf numFmtId="49" fontId="26" fillId="0" borderId="1" xfId="0" applyNumberFormat="1" applyFont="1" applyFill="1" applyBorder="1" applyAlignment="1">
      <alignment horizontal="center" vertical="top" wrapText="1"/>
    </xf>
    <xf numFmtId="0" fontId="26" fillId="0" borderId="0" xfId="0" applyFont="1" applyFill="1" applyBorder="1" applyAlignment="1">
      <alignment vertical="top" wrapText="1"/>
    </xf>
    <xf numFmtId="9" fontId="26" fillId="0" borderId="0" xfId="2" applyFont="1" applyFill="1" applyBorder="1" applyAlignment="1">
      <alignment vertical="top" wrapText="1"/>
    </xf>
    <xf numFmtId="0" fontId="26" fillId="0" borderId="0" xfId="0" applyFont="1" applyFill="1" applyAlignment="1">
      <alignment vertical="top" wrapText="1"/>
    </xf>
    <xf numFmtId="4" fontId="3" fillId="0" borderId="0" xfId="0" applyNumberFormat="1" applyFont="1" applyFill="1" applyBorder="1" applyAlignment="1">
      <alignment vertical="top" wrapText="1"/>
    </xf>
    <xf numFmtId="4" fontId="8" fillId="0" borderId="0" xfId="0" applyNumberFormat="1" applyFont="1" applyFill="1" applyAlignment="1">
      <alignment vertical="top" wrapText="1"/>
    </xf>
    <xf numFmtId="168" fontId="2"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xf>
    <xf numFmtId="2" fontId="2" fillId="0" borderId="2" xfId="2" applyNumberFormat="1" applyFont="1" applyFill="1" applyBorder="1" applyAlignment="1">
      <alignment horizontal="center" vertical="top"/>
    </xf>
    <xf numFmtId="170" fontId="2" fillId="0" borderId="1" xfId="0" applyNumberFormat="1" applyFont="1" applyFill="1" applyBorder="1" applyAlignment="1">
      <alignment horizontal="center" vertical="top" wrapText="1"/>
    </xf>
    <xf numFmtId="170" fontId="2" fillId="0" borderId="1" xfId="0" applyNumberFormat="1" applyFont="1" applyFill="1" applyBorder="1" applyAlignment="1">
      <alignment horizontal="center" vertical="top"/>
    </xf>
    <xf numFmtId="0" fontId="2" fillId="8" borderId="1" xfId="0" applyFont="1" applyFill="1" applyBorder="1" applyAlignment="1">
      <alignment vertical="top" wrapText="1"/>
    </xf>
    <xf numFmtId="170" fontId="2" fillId="4" borderId="1" xfId="0" applyNumberFormat="1" applyFont="1" applyFill="1" applyBorder="1" applyAlignment="1">
      <alignment horizontal="center" vertical="top" wrapText="1"/>
    </xf>
    <xf numFmtId="0" fontId="8" fillId="4" borderId="2" xfId="0" applyFont="1" applyFill="1" applyBorder="1" applyAlignment="1">
      <alignment vertical="center" wrapText="1"/>
    </xf>
    <xf numFmtId="170" fontId="2" fillId="4"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xf>
    <xf numFmtId="170" fontId="2" fillId="0" borderId="7" xfId="0" applyNumberFormat="1" applyFont="1" applyFill="1" applyBorder="1" applyAlignment="1">
      <alignment horizontal="center" vertical="top"/>
    </xf>
    <xf numFmtId="171" fontId="2" fillId="0" borderId="1" xfId="0" applyNumberFormat="1" applyFont="1" applyFill="1" applyBorder="1" applyAlignment="1">
      <alignment horizontal="center" vertical="top" wrapText="1"/>
    </xf>
    <xf numFmtId="171" fontId="2" fillId="0"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wrapText="1"/>
    </xf>
    <xf numFmtId="171" fontId="2" fillId="4" borderId="3" xfId="0" applyNumberFormat="1" applyFont="1" applyFill="1" applyBorder="1" applyAlignment="1">
      <alignment horizontal="center" vertical="top"/>
    </xf>
    <xf numFmtId="166" fontId="2" fillId="4" borderId="3" xfId="0" applyNumberFormat="1" applyFont="1" applyFill="1" applyBorder="1" applyAlignment="1">
      <alignment horizontal="center" vertical="top"/>
    </xf>
    <xf numFmtId="0" fontId="24" fillId="4" borderId="2" xfId="0" applyFont="1" applyFill="1" applyBorder="1" applyAlignment="1">
      <alignment horizontal="left" vertical="top" wrapText="1"/>
    </xf>
    <xf numFmtId="0" fontId="39" fillId="4" borderId="2" xfId="0" applyFont="1" applyFill="1" applyBorder="1" applyAlignment="1">
      <alignment vertical="center" wrapText="1"/>
    </xf>
    <xf numFmtId="0" fontId="39" fillId="4" borderId="2" xfId="0" applyFont="1" applyFill="1" applyBorder="1" applyAlignment="1">
      <alignment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3" fontId="45" fillId="0" borderId="0" xfId="0" applyNumberFormat="1"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0" fontId="39" fillId="4" borderId="2" xfId="0" applyFont="1" applyFill="1" applyBorder="1" applyAlignment="1">
      <alignment vertical="center" wrapText="1"/>
    </xf>
    <xf numFmtId="2" fontId="2" fillId="9" borderId="1"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56" fillId="4" borderId="0" xfId="0" applyFont="1" applyFill="1" applyAlignment="1">
      <alignment vertical="top" wrapText="1"/>
    </xf>
    <xf numFmtId="0" fontId="56" fillId="4" borderId="0" xfId="0" applyFont="1" applyFill="1"/>
    <xf numFmtId="0" fontId="2" fillId="4" borderId="0" xfId="0" applyFont="1" applyFill="1" applyAlignment="1">
      <alignment vertical="top"/>
    </xf>
    <xf numFmtId="0" fontId="56" fillId="0" borderId="0" xfId="1" applyFont="1" applyFill="1" applyAlignment="1">
      <alignment vertical="top" wrapText="1"/>
    </xf>
    <xf numFmtId="0" fontId="56" fillId="0" borderId="0" xfId="0" applyFont="1" applyFill="1"/>
    <xf numFmtId="0" fontId="2" fillId="0" borderId="0" xfId="0" applyFont="1" applyFill="1" applyAlignment="1">
      <alignment vertical="top"/>
    </xf>
    <xf numFmtId="0" fontId="2" fillId="4" borderId="2" xfId="0" applyFont="1" applyFill="1" applyBorder="1" applyAlignment="1">
      <alignment vertical="top" wrapText="1"/>
    </xf>
    <xf numFmtId="0" fontId="2" fillId="4" borderId="2" xfId="0" applyFont="1" applyFill="1" applyBorder="1" applyAlignment="1">
      <alignment vertical="center" wrapText="1"/>
    </xf>
    <xf numFmtId="49" fontId="21" fillId="0" borderId="4" xfId="0" applyNumberFormat="1" applyFont="1" applyFill="1" applyBorder="1" applyAlignment="1">
      <alignment horizontal="center" vertical="top" wrapText="1"/>
    </xf>
    <xf numFmtId="3" fontId="32" fillId="0" borderId="0" xfId="0" applyNumberFormat="1" applyFont="1" applyFill="1" applyAlignment="1">
      <alignment vertical="top" wrapText="1"/>
    </xf>
    <xf numFmtId="49" fontId="22" fillId="0" borderId="6" xfId="0" applyNumberFormat="1" applyFont="1" applyFill="1" applyBorder="1" applyAlignment="1">
      <alignment horizontal="center" vertical="top"/>
    </xf>
    <xf numFmtId="0" fontId="35" fillId="4" borderId="2" xfId="0" applyFont="1" applyFill="1" applyBorder="1" applyAlignment="1">
      <alignment vertical="center" wrapText="1"/>
    </xf>
    <xf numFmtId="0" fontId="33" fillId="4" borderId="0" xfId="1" applyFill="1" applyAlignment="1">
      <alignment vertical="top" wrapText="1"/>
    </xf>
    <xf numFmtId="3" fontId="2" fillId="4" borderId="2" xfId="0" applyNumberFormat="1" applyFont="1" applyFill="1" applyBorder="1" applyAlignment="1">
      <alignment horizontal="center" vertical="top"/>
    </xf>
    <xf numFmtId="2" fontId="2" fillId="4" borderId="2" xfId="2" applyNumberFormat="1" applyFont="1" applyFill="1" applyBorder="1" applyAlignment="1">
      <alignment horizontal="center" vertical="top"/>
    </xf>
    <xf numFmtId="172" fontId="2" fillId="4" borderId="1" xfId="0" applyNumberFormat="1" applyFont="1" applyFill="1" applyBorder="1" applyAlignment="1">
      <alignment horizontal="center" vertical="top" wrapText="1"/>
    </xf>
    <xf numFmtId="0" fontId="45" fillId="4" borderId="0" xfId="1" applyFont="1" applyFill="1" applyAlignment="1">
      <alignment vertical="top" wrapText="1"/>
    </xf>
    <xf numFmtId="0" fontId="36" fillId="4" borderId="2" xfId="0" applyFont="1" applyFill="1" applyBorder="1" applyAlignment="1">
      <alignment horizontal="left" vertical="top" wrapText="1"/>
    </xf>
    <xf numFmtId="0" fontId="56" fillId="4" borderId="0" xfId="1" applyFont="1" applyFill="1" applyAlignment="1">
      <alignment vertical="top" wrapText="1"/>
    </xf>
    <xf numFmtId="0" fontId="56" fillId="0" borderId="0" xfId="0" applyFont="1" applyFill="1" applyAlignment="1">
      <alignment vertical="top" wrapText="1"/>
    </xf>
    <xf numFmtId="0" fontId="24" fillId="0" borderId="0" xfId="0" applyFont="1" applyFill="1" applyAlignment="1">
      <alignment vertical="top"/>
    </xf>
    <xf numFmtId="172" fontId="2" fillId="0" borderId="1" xfId="0" applyNumberFormat="1" applyFont="1" applyFill="1" applyBorder="1" applyAlignment="1">
      <alignment horizontal="center" vertical="top"/>
    </xf>
    <xf numFmtId="0" fontId="25" fillId="0" borderId="1" xfId="0" applyFont="1" applyFill="1" applyBorder="1" applyAlignment="1">
      <alignment vertical="top" wrapText="1"/>
    </xf>
    <xf numFmtId="0" fontId="39" fillId="0" borderId="2" xfId="0" applyFont="1" applyFill="1" applyBorder="1" applyAlignment="1">
      <alignment vertical="top" wrapText="1"/>
    </xf>
    <xf numFmtId="0" fontId="24" fillId="0" borderId="1" xfId="0" applyFont="1" applyFill="1" applyBorder="1" applyAlignment="1">
      <alignment vertical="top" wrapText="1"/>
    </xf>
    <xf numFmtId="0" fontId="47" fillId="0" borderId="0" xfId="0" applyFont="1" applyFill="1" applyAlignment="1">
      <alignment vertical="top" wrapText="1"/>
    </xf>
    <xf numFmtId="0" fontId="39" fillId="0" borderId="0" xfId="0" applyFont="1" applyFill="1"/>
    <xf numFmtId="49" fontId="25" fillId="0" borderId="4" xfId="0" applyNumberFormat="1" applyFont="1" applyFill="1" applyBorder="1" applyAlignment="1">
      <alignment horizontal="center" vertical="top"/>
    </xf>
    <xf numFmtId="0" fontId="48" fillId="0" borderId="0" xfId="0" applyFont="1" applyFill="1" applyAlignment="1">
      <alignment vertical="top" wrapText="1"/>
    </xf>
    <xf numFmtId="0" fontId="43" fillId="0" borderId="0" xfId="0" applyFont="1" applyFill="1"/>
    <xf numFmtId="4" fontId="0" fillId="0" borderId="0" xfId="0" applyNumberFormat="1"/>
    <xf numFmtId="171" fontId="2" fillId="0" borderId="3" xfId="0" applyNumberFormat="1" applyFont="1" applyFill="1" applyBorder="1" applyAlignment="1">
      <alignment horizontal="center" vertical="top"/>
    </xf>
    <xf numFmtId="0" fontId="57" fillId="4" borderId="0" xfId="0" applyFont="1" applyFill="1" applyAlignment="1">
      <alignment vertical="top" wrapText="1"/>
    </xf>
    <xf numFmtId="0" fontId="57" fillId="4" borderId="0" xfId="0" applyFont="1" applyFill="1"/>
    <xf numFmtId="0" fontId="25" fillId="4" borderId="0" xfId="0" applyFont="1" applyFill="1" applyAlignment="1">
      <alignment vertical="top"/>
    </xf>
    <xf numFmtId="0" fontId="25" fillId="4" borderId="0" xfId="0" applyFont="1" applyFill="1" applyAlignment="1">
      <alignment vertical="top" wrapText="1"/>
    </xf>
    <xf numFmtId="0" fontId="2" fillId="4" borderId="0" xfId="0" applyFont="1" applyFill="1"/>
    <xf numFmtId="0" fontId="25" fillId="4" borderId="0" xfId="0" applyFont="1" applyFill="1"/>
    <xf numFmtId="49" fontId="2" fillId="4" borderId="1"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 fontId="0" fillId="0" borderId="0" xfId="0" applyNumberFormat="1" applyFill="1"/>
    <xf numFmtId="49" fontId="8" fillId="4" borderId="0" xfId="0" applyNumberFormat="1" applyFont="1" applyFill="1" applyAlignment="1">
      <alignment horizontal="center" vertical="top" wrapText="1"/>
    </xf>
    <xf numFmtId="0" fontId="8" fillId="4" borderId="0" xfId="0" applyFont="1" applyFill="1" applyAlignment="1">
      <alignment vertical="top" wrapText="1"/>
    </xf>
    <xf numFmtId="0" fontId="8" fillId="4" borderId="0" xfId="0" applyFont="1" applyFill="1" applyAlignment="1">
      <alignment horizontal="center" vertical="top" wrapText="1"/>
    </xf>
    <xf numFmtId="4" fontId="8" fillId="4" borderId="0" xfId="0" applyNumberFormat="1" applyFont="1" applyFill="1" applyAlignment="1">
      <alignment horizontal="right" vertical="top" wrapText="1"/>
    </xf>
    <xf numFmtId="0" fontId="8" fillId="4"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Alignment="1">
      <alignment vertical="top" wrapText="1"/>
    </xf>
    <xf numFmtId="4" fontId="2" fillId="4" borderId="9" xfId="0" applyNumberFormat="1"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2" fillId="4" borderId="9" xfId="0" applyNumberFormat="1" applyFont="1" applyFill="1" applyBorder="1" applyAlignment="1">
      <alignment horizontal="center" vertical="top" wrapText="1"/>
    </xf>
    <xf numFmtId="49" fontId="53" fillId="4" borderId="1" xfId="0" applyNumberFormat="1" applyFont="1" applyFill="1" applyBorder="1" applyAlignment="1">
      <alignment horizontal="center" vertical="top" wrapText="1"/>
    </xf>
    <xf numFmtId="0" fontId="53" fillId="4" borderId="1" xfId="0" applyFont="1" applyFill="1" applyBorder="1" applyAlignment="1">
      <alignment vertical="top" wrapText="1"/>
    </xf>
    <xf numFmtId="0" fontId="53" fillId="4" borderId="1" xfId="0" applyFont="1" applyFill="1" applyBorder="1" applyAlignment="1">
      <alignment horizontal="center" vertical="top" wrapText="1"/>
    </xf>
    <xf numFmtId="4" fontId="53" fillId="4" borderId="1" xfId="0" applyNumberFormat="1" applyFont="1" applyFill="1" applyBorder="1" applyAlignment="1">
      <alignment horizontal="right" vertical="top" wrapText="1"/>
    </xf>
    <xf numFmtId="2" fontId="53" fillId="4" borderId="1" xfId="0" applyNumberFormat="1" applyFont="1" applyFill="1" applyBorder="1" applyAlignment="1">
      <alignment horizontal="right" vertical="top" wrapText="1"/>
    </xf>
    <xf numFmtId="0" fontId="53" fillId="4" borderId="0" xfId="0" applyFont="1" applyFill="1" applyBorder="1" applyAlignment="1">
      <alignment vertical="top" wrapText="1"/>
    </xf>
    <xf numFmtId="9" fontId="53" fillId="4" borderId="0" xfId="2" applyFont="1" applyFill="1" applyBorder="1" applyAlignment="1">
      <alignment vertical="top" wrapText="1"/>
    </xf>
    <xf numFmtId="0" fontId="53" fillId="4" borderId="0" xfId="0" applyFont="1" applyFill="1" applyAlignment="1">
      <alignment vertical="top" wrapText="1"/>
    </xf>
    <xf numFmtId="49" fontId="54" fillId="4" borderId="1" xfId="0" applyNumberFormat="1" applyFont="1" applyFill="1" applyBorder="1" applyAlignment="1">
      <alignment horizontal="center" vertical="top" wrapText="1"/>
    </xf>
    <xf numFmtId="0" fontId="54" fillId="4" borderId="1" xfId="0" applyFont="1" applyFill="1" applyBorder="1" applyAlignment="1">
      <alignment vertical="top" wrapText="1"/>
    </xf>
    <xf numFmtId="0" fontId="54" fillId="4" borderId="1" xfId="0" applyFont="1" applyFill="1" applyBorder="1" applyAlignment="1">
      <alignment horizontal="center" vertical="top" wrapText="1"/>
    </xf>
    <xf numFmtId="4" fontId="54" fillId="4" borderId="1" xfId="0" applyNumberFormat="1" applyFont="1" applyFill="1" applyBorder="1" applyAlignment="1">
      <alignment horizontal="right" vertical="top" wrapText="1"/>
    </xf>
    <xf numFmtId="2" fontId="54" fillId="4" borderId="1" xfId="0" applyNumberFormat="1" applyFont="1" applyFill="1" applyBorder="1" applyAlignment="1">
      <alignment horizontal="right" vertical="top" wrapText="1"/>
    </xf>
    <xf numFmtId="0" fontId="54" fillId="4" borderId="0" xfId="0" applyFont="1" applyFill="1" applyBorder="1" applyAlignment="1">
      <alignment vertical="top" wrapText="1"/>
    </xf>
    <xf numFmtId="0" fontId="54" fillId="4" borderId="0" xfId="0" applyFont="1" applyFill="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4" fontId="3" fillId="4" borderId="1" xfId="0" applyNumberFormat="1" applyFont="1" applyFill="1" applyBorder="1" applyAlignment="1">
      <alignment horizontal="right" vertical="top" wrapText="1"/>
    </xf>
    <xf numFmtId="2" fontId="3" fillId="4" borderId="1" xfId="0" applyNumberFormat="1" applyFont="1" applyFill="1" applyBorder="1" applyAlignment="1">
      <alignment horizontal="right" vertical="top" wrapText="1"/>
    </xf>
    <xf numFmtId="4" fontId="3" fillId="4" borderId="9" xfId="0" applyNumberFormat="1" applyFont="1" applyFill="1" applyBorder="1" applyAlignment="1">
      <alignment horizontal="right" vertical="top"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3" fillId="4" borderId="1" xfId="0" applyFont="1" applyFill="1" applyBorder="1" applyAlignment="1">
      <alignment vertical="top" wrapText="1"/>
    </xf>
    <xf numFmtId="0" fontId="54" fillId="4" borderId="9" xfId="0" applyFont="1" applyFill="1" applyBorder="1" applyAlignment="1">
      <alignment horizontal="left" vertical="top" wrapText="1"/>
    </xf>
    <xf numFmtId="0" fontId="54" fillId="4" borderId="3" xfId="0" applyFont="1" applyFill="1" applyBorder="1" applyAlignment="1">
      <alignment horizontal="center" vertical="top" wrapText="1"/>
    </xf>
    <xf numFmtId="4" fontId="54" fillId="4" borderId="3" xfId="0" applyNumberFormat="1" applyFont="1" applyFill="1" applyBorder="1" applyAlignment="1">
      <alignment horizontal="right" vertical="top" wrapText="1"/>
    </xf>
    <xf numFmtId="4" fontId="54" fillId="4" borderId="9" xfId="0" applyNumberFormat="1" applyFont="1" applyFill="1" applyBorder="1" applyAlignment="1">
      <alignment horizontal="right" vertical="top" wrapText="1"/>
    </xf>
    <xf numFmtId="0" fontId="54" fillId="4" borderId="13" xfId="0" applyFont="1" applyFill="1" applyBorder="1" applyAlignment="1">
      <alignment horizontal="left" vertical="top" wrapText="1"/>
    </xf>
    <xf numFmtId="0" fontId="54" fillId="4" borderId="13"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9" xfId="0" applyFont="1" applyFill="1" applyBorder="1" applyAlignment="1">
      <alignment horizontal="left" vertical="top" wrapText="1"/>
    </xf>
    <xf numFmtId="0" fontId="54" fillId="4" borderId="1" xfId="0" applyFont="1" applyFill="1" applyBorder="1" applyAlignment="1">
      <alignment horizontal="left" vertical="top" wrapText="1"/>
    </xf>
    <xf numFmtId="0" fontId="55" fillId="4" borderId="13" xfId="0" applyFont="1" applyFill="1" applyBorder="1" applyAlignment="1">
      <alignment horizontal="center" vertical="top" wrapText="1"/>
    </xf>
    <xf numFmtId="0" fontId="53" fillId="4" borderId="1" xfId="0" applyFont="1" applyFill="1" applyBorder="1" applyAlignment="1">
      <alignment horizontal="left" vertical="top" wrapText="1"/>
    </xf>
    <xf numFmtId="9" fontId="54" fillId="4" borderId="0" xfId="2" applyFont="1" applyFill="1" applyBorder="1" applyAlignment="1">
      <alignment vertical="top" wrapText="1"/>
    </xf>
    <xf numFmtId="0" fontId="54" fillId="4" borderId="9" xfId="0" applyFont="1" applyFill="1" applyBorder="1" applyAlignment="1">
      <alignment vertical="top" wrapText="1"/>
    </xf>
    <xf numFmtId="0" fontId="3" fillId="4" borderId="9" xfId="0" applyFont="1" applyFill="1" applyBorder="1" applyAlignment="1">
      <alignment vertical="top" wrapText="1"/>
    </xf>
    <xf numFmtId="4" fontId="3" fillId="4" borderId="3" xfId="0" applyNumberFormat="1" applyFont="1" applyFill="1" applyBorder="1" applyAlignment="1">
      <alignment horizontal="right" vertical="top" wrapText="1"/>
    </xf>
    <xf numFmtId="49" fontId="54" fillId="4" borderId="3" xfId="0" applyNumberFormat="1" applyFont="1" applyFill="1" applyBorder="1" applyAlignment="1">
      <alignment horizontal="center" vertical="top" wrapText="1"/>
    </xf>
    <xf numFmtId="0" fontId="54" fillId="4" borderId="3" xfId="0" applyFont="1" applyFill="1" applyBorder="1" applyAlignment="1">
      <alignment vertical="top" wrapText="1"/>
    </xf>
    <xf numFmtId="0" fontId="3" fillId="4" borderId="0" xfId="0" applyFont="1" applyFill="1" applyBorder="1"/>
    <xf numFmtId="9" fontId="3" fillId="4" borderId="0" xfId="2" applyFont="1" applyFill="1" applyBorder="1" applyAlignment="1">
      <alignment vertical="top" wrapText="1"/>
    </xf>
    <xf numFmtId="49" fontId="53" fillId="4" borderId="5" xfId="0" applyNumberFormat="1" applyFont="1" applyFill="1" applyBorder="1" applyAlignment="1">
      <alignment horizontal="center" vertical="top" wrapText="1"/>
    </xf>
    <xf numFmtId="0" fontId="53" fillId="4" borderId="5" xfId="0" applyFont="1" applyFill="1" applyBorder="1" applyAlignment="1">
      <alignment vertical="top" wrapText="1"/>
    </xf>
    <xf numFmtId="0" fontId="53" fillId="4" borderId="5" xfId="0" applyFont="1" applyFill="1" applyBorder="1" applyAlignment="1">
      <alignment horizontal="center" vertical="top" wrapText="1"/>
    </xf>
    <xf numFmtId="4" fontId="53" fillId="4" borderId="5" xfId="0" applyNumberFormat="1" applyFont="1" applyFill="1" applyBorder="1" applyAlignment="1">
      <alignment horizontal="right" vertical="top" wrapText="1"/>
    </xf>
    <xf numFmtId="0" fontId="26" fillId="4" borderId="1" xfId="0" applyFont="1" applyFill="1" applyBorder="1" applyAlignment="1">
      <alignment vertical="top" wrapText="1"/>
    </xf>
    <xf numFmtId="0" fontId="26" fillId="4" borderId="1" xfId="0" applyFont="1" applyFill="1" applyBorder="1" applyAlignment="1">
      <alignment horizontal="center" vertical="top" wrapText="1"/>
    </xf>
    <xf numFmtId="4" fontId="54" fillId="4" borderId="4" xfId="0" applyNumberFormat="1" applyFont="1" applyFill="1" applyBorder="1" applyAlignment="1">
      <alignment horizontal="right" vertical="top" wrapText="1"/>
    </xf>
    <xf numFmtId="0" fontId="54" fillId="4" borderId="0" xfId="0" applyFont="1" applyFill="1" applyBorder="1" applyAlignment="1">
      <alignment horizontal="right" vertical="top" wrapText="1"/>
    </xf>
    <xf numFmtId="0" fontId="26" fillId="4" borderId="9" xfId="0" applyFont="1" applyFill="1" applyBorder="1" applyAlignment="1">
      <alignment vertical="top" wrapText="1"/>
    </xf>
    <xf numFmtId="0" fontId="2" fillId="4" borderId="0" xfId="0" applyFont="1" applyFill="1" applyBorder="1" applyAlignment="1">
      <alignment horizontal="right" vertical="top" wrapText="1"/>
    </xf>
    <xf numFmtId="2" fontId="3" fillId="4" borderId="3" xfId="0" applyNumberFormat="1" applyFont="1" applyFill="1" applyBorder="1" applyAlignment="1">
      <alignment horizontal="right" vertical="top" wrapText="1"/>
    </xf>
    <xf numFmtId="49" fontId="26" fillId="4" borderId="1" xfId="0" applyNumberFormat="1" applyFont="1" applyFill="1" applyBorder="1" applyAlignment="1">
      <alignment horizontal="center" vertical="top" wrapText="1"/>
    </xf>
    <xf numFmtId="4" fontId="26" fillId="4" borderId="1" xfId="0" applyNumberFormat="1" applyFont="1" applyFill="1" applyBorder="1" applyAlignment="1">
      <alignment horizontal="right" vertical="top" wrapText="1"/>
    </xf>
    <xf numFmtId="4" fontId="26" fillId="4" borderId="3" xfId="0" applyNumberFormat="1" applyFont="1" applyFill="1" applyBorder="1" applyAlignment="1">
      <alignment horizontal="right" vertical="top" wrapText="1"/>
    </xf>
    <xf numFmtId="4" fontId="26" fillId="4" borderId="9" xfId="0" applyNumberFormat="1" applyFont="1" applyFill="1" applyBorder="1" applyAlignment="1">
      <alignment horizontal="right" vertical="top" wrapText="1"/>
    </xf>
    <xf numFmtId="0" fontId="26" fillId="4" borderId="0" xfId="0" applyFont="1" applyFill="1" applyBorder="1" applyAlignment="1">
      <alignment vertical="top" wrapText="1"/>
    </xf>
    <xf numFmtId="9" fontId="26" fillId="4" borderId="0" xfId="2" applyFont="1" applyFill="1" applyBorder="1" applyAlignment="1">
      <alignment vertical="top" wrapText="1"/>
    </xf>
    <xf numFmtId="0" fontId="26" fillId="4" borderId="0" xfId="0" applyFont="1" applyFill="1" applyAlignment="1">
      <alignment vertical="top" wrapText="1"/>
    </xf>
    <xf numFmtId="4" fontId="3" fillId="4" borderId="0" xfId="0" applyNumberFormat="1" applyFont="1" applyFill="1" applyBorder="1" applyAlignment="1">
      <alignment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top" wrapText="1"/>
    </xf>
    <xf numFmtId="4" fontId="9" fillId="4" borderId="0" xfId="0" applyNumberFormat="1" applyFont="1" applyFill="1" applyAlignment="1">
      <alignment horizontal="right" vertical="top" wrapText="1"/>
    </xf>
    <xf numFmtId="4" fontId="8" fillId="4" borderId="0" xfId="0" applyNumberFormat="1" applyFont="1" applyFill="1" applyBorder="1" applyAlignment="1">
      <alignment horizontal="right" vertical="top" wrapText="1"/>
    </xf>
    <xf numFmtId="0" fontId="27" fillId="4" borderId="0" xfId="0" applyFont="1" applyFill="1" applyAlignment="1">
      <alignment vertical="top"/>
    </xf>
    <xf numFmtId="0" fontId="27" fillId="4" borderId="0" xfId="0" applyFont="1" applyFill="1" applyAlignment="1">
      <alignment horizontal="left" vertical="top"/>
    </xf>
    <xf numFmtId="0" fontId="27" fillId="4" borderId="0" xfId="0" applyFont="1" applyFill="1" applyAlignment="1">
      <alignment horizontal="center" vertical="top"/>
    </xf>
    <xf numFmtId="0" fontId="50" fillId="4" borderId="0" xfId="0" applyFont="1" applyFill="1" applyAlignment="1">
      <alignment vertical="top" wrapText="1"/>
    </xf>
    <xf numFmtId="0" fontId="51" fillId="4" borderId="0" xfId="0" applyFont="1" applyFill="1"/>
    <xf numFmtId="0" fontId="28" fillId="4" borderId="0" xfId="0" applyFont="1" applyFill="1" applyAlignment="1">
      <alignment vertical="top"/>
    </xf>
    <xf numFmtId="0" fontId="28" fillId="4" borderId="0" xfId="0" applyFont="1" applyFill="1" applyAlignment="1">
      <alignment horizontal="left" vertical="top"/>
    </xf>
    <xf numFmtId="0" fontId="28" fillId="4" borderId="0" xfId="0" applyFont="1" applyFill="1" applyAlignment="1">
      <alignment horizontal="center" vertical="top"/>
    </xf>
    <xf numFmtId="0" fontId="5" fillId="4" borderId="0" xfId="0" applyFont="1" applyFill="1" applyAlignment="1">
      <alignment horizontal="left" vertical="center"/>
    </xf>
    <xf numFmtId="0" fontId="5" fillId="4" borderId="0" xfId="0" applyFont="1" applyFill="1" applyAlignment="1">
      <alignment horizontal="left"/>
    </xf>
    <xf numFmtId="0" fontId="5" fillId="4" borderId="0" xfId="0" applyFont="1" applyFill="1"/>
    <xf numFmtId="4" fontId="14" fillId="4" borderId="0" xfId="0" applyNumberFormat="1" applyFont="1" applyFill="1"/>
    <xf numFmtId="4" fontId="2" fillId="4" borderId="0" xfId="0" applyNumberFormat="1" applyFont="1" applyFill="1"/>
    <xf numFmtId="4" fontId="2" fillId="4" borderId="0" xfId="0" applyNumberFormat="1" applyFont="1" applyFill="1" applyAlignment="1">
      <alignment horizontal="right"/>
    </xf>
    <xf numFmtId="4" fontId="5" fillId="4" borderId="0" xfId="0" applyNumberFormat="1" applyFont="1" applyFill="1" applyAlignment="1">
      <alignment horizontal="right"/>
    </xf>
    <xf numFmtId="0" fontId="2" fillId="4" borderId="0" xfId="0" applyFont="1" applyFill="1" applyAlignment="1">
      <alignment horizontal="center" vertical="center"/>
    </xf>
    <xf numFmtId="0" fontId="2" fillId="4" borderId="0" xfId="0" applyFont="1" applyFill="1" applyAlignment="1">
      <alignment horizontal="left"/>
    </xf>
    <xf numFmtId="4" fontId="2" fillId="4"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4" fontId="5" fillId="4" borderId="1" xfId="0" applyNumberFormat="1" applyFont="1" applyFill="1" applyBorder="1" applyAlignment="1">
      <alignment horizontal="right" vertical="top"/>
    </xf>
    <xf numFmtId="166" fontId="5" fillId="4" borderId="1" xfId="0" applyNumberFormat="1" applyFont="1" applyFill="1" applyBorder="1" applyAlignment="1">
      <alignment horizontal="right" vertical="top"/>
    </xf>
    <xf numFmtId="4" fontId="2" fillId="4" borderId="1" xfId="0" applyNumberFormat="1" applyFont="1" applyFill="1" applyBorder="1" applyAlignment="1">
      <alignment horizontal="right" vertical="top"/>
    </xf>
    <xf numFmtId="4" fontId="5" fillId="4" borderId="1" xfId="0" applyNumberFormat="1" applyFont="1" applyFill="1" applyBorder="1" applyAlignment="1">
      <alignment horizontal="right" vertical="center" wrapText="1"/>
    </xf>
    <xf numFmtId="4" fontId="8" fillId="4" borderId="0" xfId="0" applyNumberFormat="1" applyFont="1" applyFill="1" applyAlignment="1">
      <alignmen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0" fontId="58" fillId="0" borderId="1" xfId="0" applyFont="1" applyFill="1" applyBorder="1" applyAlignment="1">
      <alignment vertical="top" wrapText="1"/>
    </xf>
    <xf numFmtId="4" fontId="2" fillId="5" borderId="9" xfId="0" applyNumberFormat="1" applyFont="1" applyFill="1" applyBorder="1" applyAlignment="1">
      <alignment horizontal="center" vertical="top" wrapText="1"/>
    </xf>
    <xf numFmtId="0" fontId="27" fillId="4" borderId="0" xfId="0" applyFont="1" applyFill="1" applyAlignment="1">
      <alignment horizontal="left" vertical="top" wrapText="1"/>
    </xf>
    <xf numFmtId="49" fontId="59" fillId="4" borderId="4" xfId="0" applyNumberFormat="1" applyFont="1" applyFill="1" applyBorder="1" applyAlignment="1">
      <alignment horizontal="center" vertical="top"/>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4" fillId="4" borderId="2"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5" fillId="4" borderId="10" xfId="0" applyFont="1" applyFill="1" applyBorder="1" applyAlignment="1">
      <alignment vertical="center" wrapText="1"/>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4" fontId="2" fillId="0" borderId="3"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11" fillId="4" borderId="0" xfId="0" applyFont="1" applyFill="1" applyAlignment="1">
      <alignment horizontal="left" vertical="top"/>
    </xf>
    <xf numFmtId="2"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67" fontId="3" fillId="0" borderId="9"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60" fillId="4" borderId="0" xfId="0" applyNumberFormat="1" applyFont="1" applyFill="1" applyAlignment="1">
      <alignment horizontal="right" vertical="top" wrapText="1"/>
    </xf>
    <xf numFmtId="0" fontId="60" fillId="4" borderId="1" xfId="0" applyNumberFormat="1" applyFont="1" applyFill="1" applyBorder="1" applyAlignment="1">
      <alignment horizontal="center" vertical="top" wrapText="1"/>
    </xf>
    <xf numFmtId="4" fontId="60" fillId="4" borderId="1" xfId="0" applyNumberFormat="1" applyFont="1" applyFill="1" applyBorder="1" applyAlignment="1">
      <alignment horizontal="center" vertical="center" wrapText="1"/>
    </xf>
    <xf numFmtId="0" fontId="61" fillId="4" borderId="0" xfId="0" applyFont="1" applyFill="1"/>
    <xf numFmtId="0" fontId="62" fillId="4" borderId="0" xfId="0" applyFont="1" applyFill="1"/>
    <xf numFmtId="4" fontId="63" fillId="4" borderId="0" xfId="0" applyNumberFormat="1" applyFont="1" applyFill="1" applyAlignment="1">
      <alignment horizontal="right"/>
    </xf>
    <xf numFmtId="4" fontId="60" fillId="4" borderId="0" xfId="0" applyNumberFormat="1" applyFont="1" applyFill="1" applyAlignment="1">
      <alignment horizontal="right"/>
    </xf>
    <xf numFmtId="4" fontId="63" fillId="4"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24" fillId="4" borderId="10" xfId="0"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3" fillId="4" borderId="1" xfId="0" applyFont="1" applyFill="1" applyBorder="1" applyAlignment="1">
      <alignment horizontal="left" wrapText="1"/>
    </xf>
    <xf numFmtId="4" fontId="26" fillId="0" borderId="9" xfId="0" applyNumberFormat="1" applyFont="1" applyFill="1" applyBorder="1" applyAlignment="1">
      <alignment horizontal="center" vertical="center" wrapText="1"/>
    </xf>
    <xf numFmtId="49" fontId="64" fillId="0" borderId="3" xfId="0" applyNumberFormat="1" applyFont="1" applyFill="1" applyBorder="1" applyAlignment="1">
      <alignment horizontal="center" vertical="top"/>
    </xf>
    <xf numFmtId="49" fontId="64" fillId="0" borderId="4" xfId="0" applyNumberFormat="1" applyFont="1" applyFill="1" applyBorder="1" applyAlignment="1">
      <alignment horizontal="center" vertical="top"/>
    </xf>
    <xf numFmtId="49" fontId="64" fillId="0" borderId="5" xfId="0" applyNumberFormat="1" applyFont="1" applyFill="1" applyBorder="1" applyAlignment="1">
      <alignment horizontal="center" vertical="top"/>
    </xf>
    <xf numFmtId="0" fontId="5"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170" fontId="2" fillId="0" borderId="1" xfId="0" applyNumberFormat="1" applyFont="1" applyFill="1" applyBorder="1" applyAlignment="1">
      <alignment horizontal="center" vertical="center"/>
    </xf>
    <xf numFmtId="170" fontId="2" fillId="0" borderId="7"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5" fillId="4" borderId="2" xfId="0" applyFont="1" applyFill="1" applyBorder="1" applyAlignment="1">
      <alignment vertical="center" wrapText="1"/>
    </xf>
    <xf numFmtId="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4" borderId="2" xfId="2" applyNumberFormat="1" applyFont="1" applyFill="1" applyBorder="1" applyAlignment="1">
      <alignment horizontal="center" vertical="center"/>
    </xf>
    <xf numFmtId="169" fontId="2" fillId="4" borderId="1" xfId="0" applyNumberFormat="1" applyFont="1" applyFill="1" applyBorder="1" applyAlignment="1">
      <alignment horizontal="center" vertical="center"/>
    </xf>
    <xf numFmtId="169" fontId="2" fillId="4" borderId="1" xfId="0" applyNumberFormat="1" applyFont="1" applyFill="1" applyBorder="1" applyAlignment="1">
      <alignment horizontal="center" vertical="center" wrapText="1"/>
    </xf>
    <xf numFmtId="0" fontId="2" fillId="4" borderId="2" xfId="0" applyFont="1" applyFill="1" applyBorder="1" applyAlignment="1">
      <alignment wrapText="1"/>
    </xf>
    <xf numFmtId="0" fontId="2" fillId="4" borderId="2" xfId="0" applyFont="1" applyFill="1" applyBorder="1" applyAlignment="1">
      <alignment horizontal="left" vertical="center" wrapText="1"/>
    </xf>
    <xf numFmtId="171" fontId="2" fillId="4"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top"/>
    </xf>
    <xf numFmtId="1" fontId="2" fillId="4" borderId="2"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24" fillId="4" borderId="2" xfId="0" applyFont="1" applyFill="1" applyBorder="1" applyAlignment="1">
      <alignment vertical="top" wrapText="1"/>
    </xf>
    <xf numFmtId="172" fontId="2" fillId="4"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171" fontId="2" fillId="0" borderId="1" xfId="0" applyNumberFormat="1" applyFont="1" applyFill="1" applyBorder="1" applyAlignment="1">
      <alignment horizontal="center" vertical="center"/>
    </xf>
    <xf numFmtId="0" fontId="24" fillId="0" borderId="2" xfId="0" applyFont="1" applyFill="1" applyBorder="1" applyAlignment="1">
      <alignment vertical="top" wrapText="1"/>
    </xf>
    <xf numFmtId="0" fontId="24" fillId="0" borderId="2" xfId="0"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3" fontId="2" fillId="0" borderId="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7" fontId="2" fillId="0" borderId="3"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3" fontId="2" fillId="4" borderId="3" xfId="0" applyNumberFormat="1" applyFont="1" applyFill="1" applyBorder="1" applyAlignment="1">
      <alignment horizontal="center" vertical="center"/>
    </xf>
    <xf numFmtId="4" fontId="2" fillId="4" borderId="3" xfId="0" applyNumberFormat="1" applyFont="1" applyFill="1" applyBorder="1" applyAlignment="1">
      <alignment horizontal="center" vertical="center"/>
    </xf>
    <xf numFmtId="0" fontId="2" fillId="4" borderId="3" xfId="0" applyFont="1" applyFill="1" applyBorder="1" applyAlignment="1">
      <alignment vertical="center" wrapText="1"/>
    </xf>
    <xf numFmtId="166" fontId="2" fillId="0" borderId="3"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0" fontId="2" fillId="7" borderId="5" xfId="0" applyFont="1" applyFill="1" applyBorder="1" applyAlignment="1">
      <alignment vertical="center" wrapText="1"/>
    </xf>
    <xf numFmtId="0" fontId="2" fillId="0" borderId="12" xfId="0" applyFont="1" applyFill="1" applyBorder="1" applyAlignment="1">
      <alignment horizontal="center" vertical="center" wrapText="1"/>
    </xf>
    <xf numFmtId="0" fontId="2" fillId="7" borderId="1" xfId="0" applyFont="1" applyFill="1" applyBorder="1" applyAlignment="1">
      <alignment vertical="center" wrapText="1"/>
    </xf>
    <xf numFmtId="1" fontId="2" fillId="0" borderId="2"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4" borderId="9" xfId="0" applyFont="1" applyFill="1" applyBorder="1" applyAlignment="1">
      <alignment horizontal="left" vertical="top" wrapText="1"/>
    </xf>
    <xf numFmtId="0" fontId="2" fillId="4" borderId="3" xfId="0"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0" fontId="2" fillId="4"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30" fillId="4" borderId="13" xfId="0"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 fillId="4" borderId="9" xfId="0" applyFont="1" applyFill="1" applyBorder="1" applyAlignment="1">
      <alignment vertical="top" wrapText="1"/>
    </xf>
    <xf numFmtId="49" fontId="2" fillId="4" borderId="3" xfId="0" applyNumberFormat="1" applyFont="1" applyFill="1" applyBorder="1" applyAlignment="1">
      <alignment horizontal="center" vertical="top" wrapText="1"/>
    </xf>
    <xf numFmtId="4" fontId="2" fillId="0" borderId="3"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top" wrapText="1"/>
    </xf>
    <xf numFmtId="0" fontId="5" fillId="4" borderId="5" xfId="0" applyFont="1" applyFill="1" applyBorder="1" applyAlignment="1">
      <alignment vertical="top" wrapText="1"/>
    </xf>
    <xf numFmtId="0" fontId="5" fillId="4" borderId="5" xfId="0"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4" borderId="1" xfId="0" applyFont="1" applyFill="1" applyBorder="1" applyAlignment="1">
      <alignment horizontal="left" wrapText="1"/>
    </xf>
    <xf numFmtId="0" fontId="34" fillId="0" borderId="0" xfId="0" applyFont="1"/>
    <xf numFmtId="49" fontId="24" fillId="4" borderId="5" xfId="0" applyNumberFormat="1" applyFont="1" applyFill="1" applyBorder="1" applyAlignment="1">
      <alignment horizontal="center" vertical="top"/>
    </xf>
    <xf numFmtId="0" fontId="24" fillId="4" borderId="1" xfId="0" applyFont="1" applyFill="1" applyBorder="1" applyAlignment="1">
      <alignment horizontal="left" vertical="center" wrapText="1"/>
    </xf>
    <xf numFmtId="49" fontId="5" fillId="4" borderId="1" xfId="0"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49" fontId="2" fillId="4" borderId="0" xfId="0" applyNumberFormat="1" applyFont="1" applyFill="1" applyBorder="1" applyAlignment="1">
      <alignment horizontal="center" vertical="top"/>
    </xf>
    <xf numFmtId="0" fontId="5" fillId="4"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4" fontId="66" fillId="0" borderId="0" xfId="0" applyNumberFormat="1" applyFont="1" applyFill="1" applyAlignment="1">
      <alignment horizontal="right" vertical="top" wrapText="1"/>
    </xf>
    <xf numFmtId="0" fontId="68" fillId="0" borderId="0" xfId="0" applyFont="1"/>
    <xf numFmtId="4" fontId="65" fillId="0" borderId="0" xfId="0" applyNumberFormat="1" applyFont="1" applyFill="1" applyAlignment="1">
      <alignment horizontal="right" vertical="top" wrapText="1"/>
    </xf>
    <xf numFmtId="4" fontId="68" fillId="0" borderId="0" xfId="0" applyNumberFormat="1" applyFont="1"/>
    <xf numFmtId="2" fontId="36" fillId="0" borderId="0" xfId="0" applyNumberFormat="1" applyFont="1"/>
    <xf numFmtId="49" fontId="65" fillId="0" borderId="0" xfId="0" applyNumberFormat="1" applyFont="1" applyFill="1" applyAlignment="1">
      <alignment horizontal="center" vertical="top" wrapText="1"/>
    </xf>
    <xf numFmtId="0" fontId="65" fillId="0" borderId="0" xfId="0" applyFont="1" applyFill="1" applyAlignment="1">
      <alignment vertical="top" wrapText="1"/>
    </xf>
    <xf numFmtId="0" fontId="65" fillId="0" borderId="0" xfId="0" applyFont="1" applyFill="1" applyAlignment="1">
      <alignment horizontal="center" vertical="top" wrapText="1"/>
    </xf>
    <xf numFmtId="4" fontId="67" fillId="0" borderId="0" xfId="0" applyNumberFormat="1" applyFont="1" applyFill="1" applyAlignment="1">
      <alignment horizontal="right" vertical="top" wrapText="1"/>
    </xf>
    <xf numFmtId="49" fontId="2" fillId="0" borderId="0" xfId="0" applyNumberFormat="1"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top"/>
    </xf>
    <xf numFmtId="0" fontId="2" fillId="4" borderId="0" xfId="0" applyFont="1" applyFill="1" applyAlignment="1">
      <alignment horizontal="center" vertical="top"/>
    </xf>
    <xf numFmtId="3" fontId="2" fillId="0" borderId="0" xfId="0" applyNumberFormat="1" applyFont="1" applyFill="1" applyAlignment="1">
      <alignment horizontal="center" vertical="top"/>
    </xf>
    <xf numFmtId="0" fontId="2" fillId="0" borderId="0" xfId="0" applyFont="1" applyFill="1" applyAlignment="1">
      <alignment horizontal="left" vertical="center"/>
    </xf>
    <xf numFmtId="49" fontId="24" fillId="0" borderId="5" xfId="0" applyNumberFormat="1" applyFont="1" applyFill="1" applyBorder="1" applyAlignment="1">
      <alignment horizontal="center" vertical="top"/>
    </xf>
    <xf numFmtId="49" fontId="24" fillId="4" borderId="6" xfId="0" applyNumberFormat="1" applyFont="1" applyFill="1" applyBorder="1" applyAlignment="1">
      <alignment horizontal="center" vertical="top"/>
    </xf>
    <xf numFmtId="0" fontId="25" fillId="4" borderId="1" xfId="0" applyFont="1" applyFill="1" applyBorder="1" applyAlignment="1">
      <alignment horizontal="left" vertical="center" wrapText="1"/>
    </xf>
    <xf numFmtId="0" fontId="2" fillId="4" borderId="1" xfId="0" applyFont="1" applyFill="1" applyBorder="1" applyAlignment="1">
      <alignment vertical="center"/>
    </xf>
    <xf numFmtId="0" fontId="2" fillId="10" borderId="5" xfId="0" applyFont="1" applyFill="1" applyBorder="1" applyAlignment="1">
      <alignment vertical="center" wrapText="1"/>
    </xf>
    <xf numFmtId="0" fontId="2" fillId="10" borderId="1" xfId="0" applyFont="1" applyFill="1" applyBorder="1" applyAlignment="1">
      <alignment vertical="center" wrapText="1"/>
    </xf>
    <xf numFmtId="0" fontId="2" fillId="10" borderId="2" xfId="0" applyFont="1" applyFill="1" applyBorder="1" applyAlignment="1">
      <alignment horizontal="left" vertical="top" wrapText="1"/>
    </xf>
    <xf numFmtId="49" fontId="65" fillId="4" borderId="0" xfId="0" applyNumberFormat="1" applyFont="1" applyFill="1" applyAlignment="1">
      <alignment horizontal="center" vertical="top" wrapText="1"/>
    </xf>
    <xf numFmtId="0" fontId="65" fillId="4" borderId="0" xfId="0" applyFont="1" applyFill="1" applyAlignment="1">
      <alignment vertical="top" wrapText="1"/>
    </xf>
    <xf numFmtId="0" fontId="65" fillId="4" borderId="0" xfId="0" applyFont="1" applyFill="1" applyAlignment="1">
      <alignment horizontal="center" vertical="top" wrapText="1"/>
    </xf>
    <xf numFmtId="4" fontId="65" fillId="4" borderId="0" xfId="0" applyNumberFormat="1" applyFont="1" applyFill="1" applyAlignment="1">
      <alignment horizontal="right" vertical="top" wrapText="1"/>
    </xf>
    <xf numFmtId="4" fontId="66" fillId="4" borderId="0" xfId="0" applyNumberFormat="1" applyFont="1" applyFill="1" applyAlignment="1">
      <alignment horizontal="right" vertical="top" wrapText="1"/>
    </xf>
    <xf numFmtId="4" fontId="67" fillId="4" borderId="0" xfId="0" applyNumberFormat="1" applyFont="1" applyFill="1" applyAlignment="1">
      <alignment horizontal="right" vertical="top" wrapText="1"/>
    </xf>
    <xf numFmtId="0" fontId="66" fillId="4" borderId="0" xfId="0" applyFont="1" applyFill="1" applyAlignment="1">
      <alignment vertical="top"/>
    </xf>
    <xf numFmtId="4" fontId="65" fillId="4" borderId="1" xfId="0" applyNumberFormat="1" applyFont="1" applyFill="1" applyBorder="1" applyAlignment="1">
      <alignment horizontal="center" vertical="top" wrapText="1"/>
    </xf>
    <xf numFmtId="4" fontId="65" fillId="4" borderId="9" xfId="0" applyNumberFormat="1" applyFont="1" applyFill="1" applyBorder="1" applyAlignment="1">
      <alignment horizontal="center" vertical="top"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3" fontId="65" fillId="4" borderId="1" xfId="0" applyNumberFormat="1" applyFont="1" applyFill="1" applyBorder="1" applyAlignment="1">
      <alignment horizontal="center" vertical="top" wrapText="1"/>
    </xf>
    <xf numFmtId="0" fontId="65" fillId="4" borderId="1" xfId="0" applyNumberFormat="1" applyFont="1" applyFill="1" applyBorder="1" applyAlignment="1">
      <alignment horizontal="center" vertical="top" wrapText="1"/>
    </xf>
    <xf numFmtId="0" fontId="65" fillId="4" borderId="9" xfId="0" applyNumberFormat="1" applyFont="1" applyFill="1" applyBorder="1" applyAlignment="1">
      <alignment horizontal="center" vertical="top" wrapText="1"/>
    </xf>
    <xf numFmtId="49" fontId="69" fillId="4" borderId="1" xfId="0" applyNumberFormat="1" applyFont="1" applyFill="1" applyBorder="1" applyAlignment="1">
      <alignment horizontal="center" vertical="top" wrapText="1"/>
    </xf>
    <xf numFmtId="0" fontId="69" fillId="4" borderId="1" xfId="0" applyFont="1" applyFill="1" applyBorder="1" applyAlignment="1">
      <alignment vertical="top" wrapText="1"/>
    </xf>
    <xf numFmtId="0" fontId="69" fillId="4" borderId="1" xfId="0" applyFont="1" applyFill="1" applyBorder="1" applyAlignment="1">
      <alignment horizontal="center" vertical="top" wrapText="1"/>
    </xf>
    <xf numFmtId="0" fontId="69" fillId="4" borderId="1" xfId="0" applyFont="1" applyFill="1" applyBorder="1" applyAlignment="1">
      <alignment horizontal="center" vertical="center" wrapText="1"/>
    </xf>
    <xf numFmtId="165" fontId="65" fillId="4" borderId="1" xfId="0" applyNumberFormat="1" applyFont="1" applyFill="1" applyBorder="1" applyAlignment="1">
      <alignment horizontal="center" vertical="center"/>
    </xf>
    <xf numFmtId="165" fontId="68" fillId="4" borderId="1" xfId="0" applyNumberFormat="1" applyFont="1" applyFill="1" applyBorder="1" applyAlignment="1">
      <alignment horizontal="center" vertical="center"/>
    </xf>
    <xf numFmtId="0" fontId="65" fillId="4" borderId="1" xfId="0" applyFont="1" applyFill="1" applyBorder="1" applyAlignment="1">
      <alignment vertical="top" wrapText="1"/>
    </xf>
    <xf numFmtId="0" fontId="65" fillId="4" borderId="1" xfId="0" applyFont="1" applyFill="1" applyBorder="1" applyAlignment="1">
      <alignment horizontal="center" vertical="center" wrapText="1"/>
    </xf>
    <xf numFmtId="0" fontId="65" fillId="4" borderId="1" xfId="0" applyFont="1" applyFill="1" applyBorder="1" applyAlignment="1">
      <alignment horizontal="left" vertical="top" wrapText="1"/>
    </xf>
    <xf numFmtId="0" fontId="65" fillId="4" borderId="3" xfId="0" applyFont="1" applyFill="1" applyBorder="1" applyAlignment="1">
      <alignment horizontal="center" vertical="center" wrapText="1"/>
    </xf>
    <xf numFmtId="4" fontId="65" fillId="4" borderId="1" xfId="0" applyNumberFormat="1" applyFont="1" applyFill="1" applyBorder="1" applyAlignment="1">
      <alignment horizontal="center" vertical="center"/>
    </xf>
    <xf numFmtId="4" fontId="68" fillId="4" borderId="1" xfId="0" applyNumberFormat="1" applyFont="1" applyFill="1" applyBorder="1" applyAlignment="1">
      <alignment horizontal="center" vertical="center"/>
    </xf>
    <xf numFmtId="0" fontId="69" fillId="4" borderId="9" xfId="0" applyFont="1" applyFill="1" applyBorder="1" applyAlignment="1">
      <alignment horizontal="left" vertical="top" wrapText="1"/>
    </xf>
    <xf numFmtId="0" fontId="69" fillId="4" borderId="3" xfId="0" applyFont="1" applyFill="1" applyBorder="1" applyAlignment="1">
      <alignment horizontal="center" vertical="center" wrapText="1"/>
    </xf>
    <xf numFmtId="0" fontId="65" fillId="4" borderId="9" xfId="0" applyFont="1" applyFill="1" applyBorder="1" applyAlignment="1">
      <alignment horizontal="left" vertical="top" wrapText="1"/>
    </xf>
    <xf numFmtId="0" fontId="65" fillId="4" borderId="13" xfId="0" applyFont="1" applyFill="1" applyBorder="1" applyAlignment="1">
      <alignment horizontal="left" vertical="top" wrapText="1"/>
    </xf>
    <xf numFmtId="0" fontId="65" fillId="4" borderId="13" xfId="0" applyFont="1" applyFill="1" applyBorder="1" applyAlignment="1">
      <alignment horizontal="center" vertical="top" wrapText="1"/>
    </xf>
    <xf numFmtId="0" fontId="65" fillId="4" borderId="3" xfId="0" applyFont="1" applyFill="1" applyBorder="1" applyAlignment="1">
      <alignment horizontal="center" vertical="top" wrapText="1"/>
    </xf>
    <xf numFmtId="0" fontId="69" fillId="4" borderId="1" xfId="0" applyFont="1" applyFill="1" applyBorder="1" applyAlignment="1">
      <alignment horizontal="left" vertical="top" wrapText="1"/>
    </xf>
    <xf numFmtId="0" fontId="65" fillId="4" borderId="9" xfId="0" applyFont="1" applyFill="1" applyBorder="1" applyAlignment="1">
      <alignment vertical="top" wrapText="1"/>
    </xf>
    <xf numFmtId="49" fontId="65" fillId="4" borderId="3" xfId="0" applyNumberFormat="1" applyFont="1" applyFill="1" applyBorder="1" applyAlignment="1">
      <alignment horizontal="center" vertical="top" wrapText="1"/>
    </xf>
    <xf numFmtId="0" fontId="65" fillId="4" borderId="3" xfId="0" applyFont="1" applyFill="1" applyBorder="1" applyAlignment="1">
      <alignment vertical="top" wrapText="1"/>
    </xf>
    <xf numFmtId="49" fontId="69" fillId="4" borderId="5" xfId="0" applyNumberFormat="1" applyFont="1" applyFill="1" applyBorder="1" applyAlignment="1">
      <alignment horizontal="center" vertical="top" wrapText="1"/>
    </xf>
    <xf numFmtId="0" fontId="69" fillId="4" borderId="5" xfId="0" applyFont="1" applyFill="1" applyBorder="1" applyAlignment="1">
      <alignment vertical="top" wrapText="1"/>
    </xf>
    <xf numFmtId="0" fontId="69" fillId="4" borderId="5" xfId="0" applyFont="1" applyFill="1" applyBorder="1" applyAlignment="1">
      <alignment horizontal="center" vertical="top" wrapText="1"/>
    </xf>
    <xf numFmtId="0" fontId="69" fillId="4" borderId="5" xfId="0" applyFont="1" applyFill="1" applyBorder="1" applyAlignment="1">
      <alignment horizontal="center" vertical="center" wrapText="1"/>
    </xf>
    <xf numFmtId="165" fontId="65" fillId="4" borderId="1" xfId="0" applyNumberFormat="1" applyFont="1" applyFill="1" applyBorder="1" applyAlignment="1">
      <alignment horizontal="right" vertical="center"/>
    </xf>
    <xf numFmtId="0" fontId="69" fillId="4" borderId="1" xfId="0" applyFont="1" applyFill="1" applyBorder="1" applyAlignment="1">
      <alignment horizontal="left" wrapText="1"/>
    </xf>
    <xf numFmtId="0" fontId="65" fillId="4" borderId="1" xfId="0" applyFont="1" applyFill="1" applyBorder="1" applyAlignment="1">
      <alignment horizontal="left" wrapText="1"/>
    </xf>
    <xf numFmtId="0" fontId="65" fillId="4" borderId="0" xfId="0" applyFont="1" applyFill="1" applyAlignment="1">
      <alignment vertical="top"/>
    </xf>
    <xf numFmtId="0" fontId="65" fillId="4" borderId="0" xfId="0" applyFont="1" applyFill="1" applyAlignment="1">
      <alignment horizontal="left" vertical="top"/>
    </xf>
    <xf numFmtId="0" fontId="65" fillId="4" borderId="0" xfId="0" applyFont="1" applyFill="1" applyAlignment="1">
      <alignment horizontal="center" vertical="top"/>
    </xf>
    <xf numFmtId="0" fontId="65" fillId="4" borderId="0" xfId="0" applyFont="1" applyFill="1"/>
    <xf numFmtId="4" fontId="65" fillId="4" borderId="0" xfId="0" applyNumberFormat="1" applyFont="1" applyFill="1" applyAlignment="1">
      <alignment vertical="top"/>
    </xf>
    <xf numFmtId="4" fontId="65" fillId="4" borderId="0" xfId="0" applyNumberFormat="1" applyFont="1" applyFill="1" applyBorder="1" applyAlignment="1">
      <alignment horizontal="right" vertical="top" wrapText="1"/>
    </xf>
    <xf numFmtId="0" fontId="69" fillId="4" borderId="0" xfId="0" applyFont="1" applyFill="1" applyAlignment="1">
      <alignment horizontal="left" vertical="center"/>
    </xf>
    <xf numFmtId="0" fontId="69" fillId="4" borderId="0" xfId="0" applyFont="1" applyFill="1" applyAlignment="1">
      <alignment horizontal="left"/>
    </xf>
    <xf numFmtId="0" fontId="69" fillId="4" borderId="0" xfId="0" applyFont="1" applyFill="1" applyAlignment="1">
      <alignment vertical="top"/>
    </xf>
    <xf numFmtId="0" fontId="69" fillId="4" borderId="0" xfId="0" applyFont="1" applyFill="1"/>
    <xf numFmtId="4" fontId="65" fillId="4" borderId="0" xfId="0" applyNumberFormat="1" applyFont="1" applyFill="1"/>
    <xf numFmtId="4" fontId="65" fillId="4" borderId="0" xfId="0" applyNumberFormat="1" applyFont="1" applyFill="1" applyAlignment="1">
      <alignment horizontal="right"/>
    </xf>
    <xf numFmtId="4" fontId="69" fillId="4" borderId="0" xfId="0" applyNumberFormat="1" applyFont="1" applyFill="1" applyAlignment="1">
      <alignment horizontal="right"/>
    </xf>
    <xf numFmtId="0" fontId="65" fillId="4" borderId="0" xfId="0" applyFont="1" applyFill="1" applyAlignment="1">
      <alignment horizontal="center" vertical="center"/>
    </xf>
    <xf numFmtId="0" fontId="65" fillId="4" borderId="0" xfId="0" applyFont="1" applyFill="1" applyAlignment="1">
      <alignment horizontal="left"/>
    </xf>
    <xf numFmtId="4" fontId="65" fillId="4" borderId="1" xfId="0" applyNumberFormat="1" applyFont="1" applyFill="1" applyBorder="1" applyAlignment="1">
      <alignment horizontal="center" vertical="center" wrapText="1"/>
    </xf>
    <xf numFmtId="2" fontId="5" fillId="4" borderId="0" xfId="0" applyNumberFormat="1" applyFont="1" applyFill="1" applyAlignment="1">
      <alignment horizontal="center" vertical="center"/>
    </xf>
    <xf numFmtId="173" fontId="2" fillId="4" borderId="1" xfId="0" applyNumberFormat="1" applyFont="1" applyFill="1" applyBorder="1" applyAlignment="1">
      <alignment horizontal="right" vertical="top"/>
    </xf>
    <xf numFmtId="173" fontId="5" fillId="4" borderId="1" xfId="0" applyNumberFormat="1" applyFont="1" applyFill="1" applyBorder="1" applyAlignment="1">
      <alignment horizontal="right" vertical="top"/>
    </xf>
    <xf numFmtId="173" fontId="5" fillId="4" borderId="1" xfId="0" applyNumberFormat="1" applyFont="1" applyFill="1" applyBorder="1" applyAlignment="1">
      <alignment horizontal="right" vertical="center" wrapText="1"/>
    </xf>
    <xf numFmtId="2" fontId="2" fillId="4" borderId="0" xfId="0" applyNumberFormat="1" applyFont="1" applyFill="1" applyAlignment="1">
      <alignment horizontal="right" vertical="top" wrapText="1"/>
    </xf>
    <xf numFmtId="4" fontId="65" fillId="4" borderId="0" xfId="0" applyNumberFormat="1" applyFont="1" applyFill="1" applyAlignment="1">
      <alignment vertical="top" wrapText="1"/>
    </xf>
    <xf numFmtId="0" fontId="70" fillId="4" borderId="1" xfId="0" applyFont="1" applyFill="1" applyBorder="1" applyAlignment="1">
      <alignment horizontal="left" vertical="top" wrapText="1"/>
    </xf>
    <xf numFmtId="0" fontId="70" fillId="4" borderId="1" xfId="0" applyFont="1" applyFill="1" applyBorder="1" applyAlignment="1">
      <alignment horizontal="center" vertical="top" wrapText="1"/>
    </xf>
    <xf numFmtId="0" fontId="70" fillId="4" borderId="1" xfId="0" applyFont="1" applyFill="1" applyBorder="1" applyAlignment="1">
      <alignment horizontal="center" vertical="center" wrapText="1"/>
    </xf>
    <xf numFmtId="165" fontId="70" fillId="4" borderId="1" xfId="0" applyNumberFormat="1" applyFont="1" applyFill="1" applyBorder="1" applyAlignment="1">
      <alignment horizontal="center" vertical="center"/>
    </xf>
    <xf numFmtId="4" fontId="70" fillId="4"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top"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0" fontId="72" fillId="0" borderId="0" xfId="0" applyFont="1"/>
    <xf numFmtId="4" fontId="72" fillId="0" borderId="0" xfId="0" applyNumberFormat="1" applyFont="1"/>
    <xf numFmtId="0" fontId="56" fillId="0" borderId="0" xfId="0" applyFont="1"/>
    <xf numFmtId="0" fontId="2" fillId="4" borderId="0" xfId="0" applyFont="1" applyFill="1" applyAlignment="1">
      <alignment horizontal="left" vertical="top"/>
    </xf>
    <xf numFmtId="3" fontId="2" fillId="4" borderId="0" xfId="0" applyNumberFormat="1" applyFont="1" applyFill="1" applyAlignment="1">
      <alignment horizontal="center" vertical="top"/>
    </xf>
    <xf numFmtId="0" fontId="2" fillId="4" borderId="0" xfId="0" applyFont="1" applyFill="1" applyAlignment="1">
      <alignment horizontal="left" vertical="center"/>
    </xf>
    <xf numFmtId="0" fontId="3" fillId="4" borderId="0" xfId="0" applyFont="1" applyFill="1" applyAlignment="1">
      <alignment horizontal="left" vertical="top"/>
    </xf>
    <xf numFmtId="49" fontId="2" fillId="4" borderId="0" xfId="0" applyNumberFormat="1" applyFont="1" applyFill="1" applyAlignment="1">
      <alignment horizontal="center" vertical="top"/>
    </xf>
    <xf numFmtId="0" fontId="68" fillId="4" borderId="0" xfId="0" applyFont="1" applyFill="1"/>
    <xf numFmtId="2" fontId="36" fillId="4" borderId="0" xfId="0" applyNumberFormat="1" applyFont="1" applyFill="1"/>
    <xf numFmtId="164" fontId="68" fillId="4" borderId="0" xfId="3" applyFont="1" applyFill="1"/>
    <xf numFmtId="164" fontId="68" fillId="0" borderId="0" xfId="3" applyFont="1"/>
    <xf numFmtId="164" fontId="36" fillId="4" borderId="0" xfId="3" applyFont="1" applyFill="1"/>
    <xf numFmtId="49" fontId="76" fillId="4" borderId="4" xfId="0" applyNumberFormat="1" applyFont="1" applyFill="1" applyBorder="1" applyAlignment="1">
      <alignment horizontal="center" vertical="top"/>
    </xf>
    <xf numFmtId="49" fontId="76" fillId="0" borderId="4" xfId="0" applyNumberFormat="1" applyFont="1" applyFill="1" applyBorder="1" applyAlignment="1">
      <alignment horizontal="center" vertical="top" wrapText="1"/>
    </xf>
    <xf numFmtId="49" fontId="76" fillId="0" borderId="4" xfId="0" applyNumberFormat="1" applyFont="1" applyFill="1" applyBorder="1" applyAlignment="1">
      <alignment horizontal="center" vertical="top"/>
    </xf>
    <xf numFmtId="49" fontId="76" fillId="0" borderId="6" xfId="0" applyNumberFormat="1" applyFont="1" applyFill="1" applyBorder="1" applyAlignment="1">
      <alignment horizontal="center" vertical="top"/>
    </xf>
    <xf numFmtId="49" fontId="76" fillId="4" borderId="5" xfId="0" applyNumberFormat="1" applyFont="1" applyFill="1" applyBorder="1" applyAlignment="1">
      <alignment horizontal="center" vertical="top"/>
    </xf>
    <xf numFmtId="49" fontId="76" fillId="4" borderId="3" xfId="0" applyNumberFormat="1" applyFont="1" applyFill="1" applyBorder="1" applyAlignment="1">
      <alignment horizontal="center" vertical="top"/>
    </xf>
    <xf numFmtId="49" fontId="73" fillId="0" borderId="4" xfId="0" applyNumberFormat="1" applyFont="1" applyFill="1" applyBorder="1" applyAlignment="1">
      <alignment horizontal="center" vertical="top"/>
    </xf>
    <xf numFmtId="49" fontId="52" fillId="0" borderId="5" xfId="0" applyNumberFormat="1" applyFont="1" applyFill="1" applyBorder="1" applyAlignment="1">
      <alignment horizontal="center" vertical="top"/>
    </xf>
    <xf numFmtId="49" fontId="52" fillId="0" borderId="4" xfId="0" applyNumberFormat="1" applyFont="1" applyFill="1" applyBorder="1" applyAlignment="1">
      <alignment horizontal="center" vertical="top"/>
    </xf>
    <xf numFmtId="49" fontId="79" fillId="0" borderId="4" xfId="0" applyNumberFormat="1" applyFont="1" applyFill="1" applyBorder="1" applyAlignment="1">
      <alignment horizontal="center" vertical="top"/>
    </xf>
    <xf numFmtId="49" fontId="52" fillId="4" borderId="4" xfId="0" applyNumberFormat="1" applyFont="1" applyFill="1" applyBorder="1" applyAlignment="1">
      <alignment horizontal="center" vertical="top"/>
    </xf>
    <xf numFmtId="49" fontId="52" fillId="4" borderId="5" xfId="0" applyNumberFormat="1" applyFont="1" applyFill="1" applyBorder="1" applyAlignment="1">
      <alignment horizontal="center" vertical="top"/>
    </xf>
    <xf numFmtId="49" fontId="52" fillId="4" borderId="3" xfId="0" applyNumberFormat="1" applyFont="1" applyFill="1" applyBorder="1" applyAlignment="1">
      <alignment horizontal="center" vertical="top"/>
    </xf>
    <xf numFmtId="49" fontId="52" fillId="0" borderId="1" xfId="0" applyNumberFormat="1" applyFont="1" applyFill="1" applyBorder="1" applyAlignment="1">
      <alignment horizontal="center" vertical="top"/>
    </xf>
    <xf numFmtId="49" fontId="52" fillId="4" borderId="1" xfId="0" applyNumberFormat="1" applyFont="1" applyFill="1" applyBorder="1" applyAlignment="1">
      <alignment horizontal="center" vertical="top"/>
    </xf>
    <xf numFmtId="49" fontId="77" fillId="4" borderId="4" xfId="0" applyNumberFormat="1" applyFont="1" applyFill="1" applyBorder="1" applyAlignment="1">
      <alignment horizontal="center" vertical="top"/>
    </xf>
    <xf numFmtId="49" fontId="79" fillId="4" borderId="4" xfId="0" applyNumberFormat="1" applyFont="1" applyFill="1" applyBorder="1" applyAlignment="1">
      <alignment horizontal="center" vertical="top"/>
    </xf>
    <xf numFmtId="0" fontId="5" fillId="0" borderId="1" xfId="0" applyFont="1" applyFill="1" applyBorder="1" applyAlignment="1">
      <alignment horizontal="center" vertical="center" wrapText="1"/>
    </xf>
    <xf numFmtId="49" fontId="77" fillId="0" borderId="1" xfId="0" applyNumberFormat="1" applyFont="1" applyFill="1" applyBorder="1" applyAlignment="1">
      <alignment horizontal="center" vertical="top" wrapText="1"/>
    </xf>
    <xf numFmtId="49" fontId="52" fillId="0" borderId="3" xfId="0" applyNumberFormat="1" applyFont="1" applyFill="1" applyBorder="1" applyAlignment="1">
      <alignment horizontal="center" vertical="top"/>
    </xf>
    <xf numFmtId="0" fontId="24" fillId="4" borderId="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24" fillId="4" borderId="10" xfId="0" applyFont="1" applyFill="1" applyBorder="1" applyAlignment="1">
      <alignment horizontal="left" vertical="top" wrapText="1"/>
    </xf>
    <xf numFmtId="0" fontId="24" fillId="4" borderId="2" xfId="0" applyFont="1" applyFill="1" applyBorder="1" applyAlignment="1">
      <alignment horizontal="left" vertical="center" wrapText="1"/>
    </xf>
    <xf numFmtId="0" fontId="24" fillId="4" borderId="2" xfId="0" applyFont="1" applyFill="1" applyBorder="1" applyAlignment="1">
      <alignment vertical="top" wrapText="1"/>
    </xf>
    <xf numFmtId="0" fontId="2" fillId="4"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9" fontId="76" fillId="4" borderId="5" xfId="0" applyNumberFormat="1" applyFont="1" applyFill="1" applyBorder="1" applyAlignment="1">
      <alignment horizontal="center" vertical="top" wrapText="1"/>
    </xf>
    <xf numFmtId="49" fontId="76" fillId="4" borderId="4" xfId="0" applyNumberFormat="1" applyFont="1" applyFill="1" applyBorder="1" applyAlignment="1">
      <alignment horizontal="center" vertical="top" wrapText="1"/>
    </xf>
    <xf numFmtId="4" fontId="72" fillId="4" borderId="0" xfId="0" applyNumberFormat="1" applyFont="1" applyFill="1"/>
    <xf numFmtId="49" fontId="77" fillId="0" borderId="4" xfId="0" applyNumberFormat="1" applyFont="1" applyFill="1" applyBorder="1" applyAlignment="1">
      <alignment horizontal="center" vertical="top" wrapText="1"/>
    </xf>
    <xf numFmtId="49" fontId="77" fillId="0" borderId="5" xfId="0" applyNumberFormat="1" applyFont="1" applyFill="1" applyBorder="1" applyAlignment="1">
      <alignment horizontal="center" vertical="top" wrapText="1"/>
    </xf>
    <xf numFmtId="3" fontId="65"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right" vertical="top"/>
    </xf>
    <xf numFmtId="174" fontId="68" fillId="0" borderId="0" xfId="3" applyNumberFormat="1" applyFont="1"/>
    <xf numFmtId="0" fontId="8" fillId="4" borderId="1" xfId="0" applyFont="1" applyFill="1" applyBorder="1" applyAlignment="1">
      <alignment horizontal="left" vertical="center" wrapText="1"/>
    </xf>
    <xf numFmtId="0" fontId="72" fillId="0" borderId="0" xfId="0" applyFont="1" applyAlignment="1">
      <alignment vertical="center"/>
    </xf>
    <xf numFmtId="0" fontId="8" fillId="0" borderId="1" xfId="0" applyFont="1" applyFill="1" applyBorder="1" applyAlignment="1">
      <alignment horizontal="left" vertical="center" wrapText="1"/>
    </xf>
    <xf numFmtId="2" fontId="56" fillId="0" borderId="0" xfId="0" applyNumberFormat="1" applyFont="1"/>
    <xf numFmtId="4" fontId="56" fillId="0" borderId="0" xfId="0" applyNumberFormat="1" applyFont="1"/>
    <xf numFmtId="175" fontId="65" fillId="4" borderId="0" xfId="0" applyNumberFormat="1" applyFont="1" applyFill="1" applyAlignment="1">
      <alignment vertical="top" wrapText="1"/>
    </xf>
    <xf numFmtId="175" fontId="65" fillId="4" borderId="0" xfId="0" applyNumberFormat="1" applyFont="1" applyFill="1" applyAlignment="1">
      <alignment horizontal="center" vertical="top" wrapText="1"/>
    </xf>
    <xf numFmtId="175" fontId="65" fillId="4" borderId="0" xfId="0" applyNumberFormat="1" applyFont="1" applyFill="1" applyAlignment="1">
      <alignment horizontal="right" vertical="top" wrapText="1"/>
    </xf>
    <xf numFmtId="175" fontId="66" fillId="4" borderId="0" xfId="0" applyNumberFormat="1" applyFont="1" applyFill="1" applyAlignment="1">
      <alignment horizontal="right" vertical="top" wrapText="1"/>
    </xf>
    <xf numFmtId="175" fontId="65" fillId="4" borderId="1" xfId="0" applyNumberFormat="1" applyFont="1" applyFill="1" applyBorder="1" applyAlignment="1">
      <alignment horizontal="center" vertical="top" wrapText="1"/>
    </xf>
    <xf numFmtId="175" fontId="69" fillId="4" borderId="1" xfId="0" applyNumberFormat="1" applyFont="1" applyFill="1" applyBorder="1" applyAlignment="1">
      <alignment horizontal="center" vertical="top" wrapText="1"/>
    </xf>
    <xf numFmtId="175" fontId="69" fillId="4" borderId="1" xfId="0" applyNumberFormat="1" applyFont="1" applyFill="1" applyBorder="1" applyAlignment="1">
      <alignment horizontal="center" vertical="center" wrapText="1"/>
    </xf>
    <xf numFmtId="175" fontId="65" fillId="4" borderId="1" xfId="0" applyNumberFormat="1" applyFont="1" applyFill="1" applyBorder="1" applyAlignment="1">
      <alignment horizontal="center" vertical="center"/>
    </xf>
    <xf numFmtId="175" fontId="68" fillId="4" borderId="1" xfId="0" applyNumberFormat="1" applyFont="1" applyFill="1" applyBorder="1" applyAlignment="1">
      <alignment horizontal="center" vertical="center"/>
    </xf>
    <xf numFmtId="175" fontId="65" fillId="4" borderId="1" xfId="0" applyNumberFormat="1" applyFont="1" applyFill="1" applyBorder="1" applyAlignment="1">
      <alignment horizontal="center" vertical="center" wrapText="1"/>
    </xf>
    <xf numFmtId="175" fontId="65" fillId="4" borderId="3" xfId="0" applyNumberFormat="1" applyFont="1" applyFill="1" applyBorder="1" applyAlignment="1">
      <alignment horizontal="center" vertical="center" wrapText="1"/>
    </xf>
    <xf numFmtId="175" fontId="69" fillId="4" borderId="3" xfId="0" applyNumberFormat="1" applyFont="1" applyFill="1" applyBorder="1" applyAlignment="1">
      <alignment horizontal="center" vertical="center" wrapText="1"/>
    </xf>
    <xf numFmtId="175" fontId="65" fillId="4" borderId="13" xfId="0" applyNumberFormat="1" applyFont="1" applyFill="1" applyBorder="1" applyAlignment="1">
      <alignment horizontal="center" vertical="top" wrapText="1"/>
    </xf>
    <xf numFmtId="175" fontId="65" fillId="4" borderId="3" xfId="0" applyNumberFormat="1" applyFont="1" applyFill="1" applyBorder="1" applyAlignment="1">
      <alignment horizontal="center" vertical="top" wrapText="1"/>
    </xf>
    <xf numFmtId="175" fontId="69" fillId="4" borderId="5" xfId="0" applyNumberFormat="1" applyFont="1" applyFill="1" applyBorder="1" applyAlignment="1">
      <alignment horizontal="center" vertical="top" wrapText="1"/>
    </xf>
    <xf numFmtId="175" fontId="69" fillId="4" borderId="5" xfId="0" applyNumberFormat="1" applyFont="1" applyFill="1" applyBorder="1" applyAlignment="1">
      <alignment horizontal="center" vertical="center" wrapText="1"/>
    </xf>
    <xf numFmtId="175" fontId="65" fillId="4" borderId="1" xfId="0" applyNumberFormat="1" applyFont="1" applyFill="1" applyBorder="1" applyAlignment="1">
      <alignment horizontal="right" vertical="center"/>
    </xf>
    <xf numFmtId="175" fontId="65" fillId="4" borderId="0" xfId="0" applyNumberFormat="1" applyFont="1" applyFill="1" applyAlignment="1">
      <alignment horizontal="center" vertical="top"/>
    </xf>
    <xf numFmtId="175" fontId="65" fillId="4" borderId="0" xfId="0" applyNumberFormat="1" applyFont="1" applyFill="1" applyAlignment="1">
      <alignment vertical="top"/>
    </xf>
    <xf numFmtId="175" fontId="69" fillId="4" borderId="0" xfId="0" applyNumberFormat="1" applyFont="1" applyFill="1" applyAlignment="1">
      <alignment vertical="top"/>
    </xf>
    <xf numFmtId="175" fontId="69" fillId="4" borderId="0" xfId="0" applyNumberFormat="1" applyFont="1" applyFill="1"/>
    <xf numFmtId="175" fontId="65" fillId="4" borderId="0" xfId="0" applyNumberFormat="1" applyFont="1" applyFill="1"/>
    <xf numFmtId="175" fontId="65" fillId="4" borderId="0" xfId="0" applyNumberFormat="1" applyFont="1" applyFill="1" applyAlignment="1">
      <alignment horizontal="right"/>
    </xf>
    <xf numFmtId="175" fontId="5" fillId="4" borderId="1" xfId="0" applyNumberFormat="1" applyFont="1" applyFill="1" applyBorder="1" applyAlignment="1">
      <alignment horizontal="right" vertical="top"/>
    </xf>
    <xf numFmtId="175" fontId="2" fillId="4" borderId="1" xfId="0" applyNumberFormat="1" applyFont="1" applyFill="1" applyBorder="1" applyAlignment="1">
      <alignment horizontal="right" vertical="top"/>
    </xf>
    <xf numFmtId="175" fontId="2" fillId="4" borderId="1" xfId="0" applyNumberFormat="1" applyFont="1" applyFill="1" applyBorder="1" applyAlignment="1">
      <alignment horizontal="center" vertical="top"/>
    </xf>
    <xf numFmtId="175" fontId="5" fillId="4" borderId="1" xfId="0" applyNumberFormat="1" applyFont="1" applyFill="1" applyBorder="1" applyAlignment="1">
      <alignment horizontal="right" vertical="center" wrapText="1"/>
    </xf>
    <xf numFmtId="175" fontId="65" fillId="0" borderId="0" xfId="0" applyNumberFormat="1" applyFont="1" applyFill="1" applyAlignment="1">
      <alignment vertical="top" wrapText="1"/>
    </xf>
    <xf numFmtId="175" fontId="65" fillId="0" borderId="0" xfId="0" applyNumberFormat="1" applyFont="1" applyFill="1" applyAlignment="1">
      <alignment horizontal="center" vertical="top" wrapText="1"/>
    </xf>
    <xf numFmtId="175" fontId="65" fillId="0" borderId="0" xfId="0" applyNumberFormat="1" applyFont="1" applyFill="1" applyAlignment="1">
      <alignment horizontal="right" vertical="top" wrapText="1"/>
    </xf>
    <xf numFmtId="175" fontId="66" fillId="0" borderId="0" xfId="0" applyNumberFormat="1" applyFont="1" applyFill="1" applyAlignment="1">
      <alignment horizontal="right" vertical="top" wrapText="1"/>
    </xf>
    <xf numFmtId="175" fontId="65" fillId="0" borderId="0" xfId="3" applyNumberFormat="1" applyFont="1" applyFill="1" applyAlignment="1">
      <alignment horizontal="center" vertical="center" wrapText="1"/>
    </xf>
    <xf numFmtId="175" fontId="65" fillId="4" borderId="1" xfId="0" applyNumberFormat="1" applyFont="1" applyFill="1" applyBorder="1" applyAlignment="1">
      <alignment horizontal="center" vertical="top" wrapText="1"/>
    </xf>
    <xf numFmtId="175" fontId="65" fillId="4" borderId="1" xfId="0" applyNumberFormat="1" applyFont="1" applyFill="1" applyBorder="1" applyAlignment="1">
      <alignment horizontal="center" vertical="center" wrapText="1"/>
    </xf>
    <xf numFmtId="0" fontId="2" fillId="4" borderId="0" xfId="0" applyFont="1" applyFill="1" applyBorder="1" applyAlignment="1">
      <alignment horizontal="left" vertical="top" wrapText="1"/>
    </xf>
    <xf numFmtId="0" fontId="80" fillId="0" borderId="0" xfId="0" applyFont="1"/>
    <xf numFmtId="175" fontId="65" fillId="0" borderId="1" xfId="0" applyNumberFormat="1" applyFont="1" applyFill="1" applyBorder="1" applyAlignment="1">
      <alignment horizontal="center" vertical="top" wrapText="1"/>
    </xf>
    <xf numFmtId="175" fontId="68" fillId="0" borderId="1" xfId="0" applyNumberFormat="1" applyFont="1" applyFill="1" applyBorder="1" applyAlignment="1">
      <alignment horizontal="center" vertical="center"/>
    </xf>
    <xf numFmtId="175" fontId="65" fillId="0" borderId="1" xfId="0" applyNumberFormat="1" applyFont="1" applyFill="1" applyBorder="1" applyAlignment="1">
      <alignment horizontal="center" vertical="center"/>
    </xf>
    <xf numFmtId="175" fontId="65" fillId="0" borderId="1" xfId="0" applyNumberFormat="1" applyFont="1" applyFill="1" applyBorder="1" applyAlignment="1">
      <alignment horizontal="right" vertical="center"/>
    </xf>
    <xf numFmtId="175" fontId="65" fillId="0" borderId="0" xfId="0" applyNumberFormat="1" applyFont="1" applyFill="1" applyAlignment="1">
      <alignment vertical="top"/>
    </xf>
    <xf numFmtId="175" fontId="65" fillId="0" borderId="0" xfId="0" applyNumberFormat="1" applyFont="1" applyFill="1" applyAlignment="1">
      <alignment horizontal="right"/>
    </xf>
    <xf numFmtId="175" fontId="65" fillId="0" borderId="1" xfId="0" applyNumberFormat="1" applyFont="1" applyFill="1" applyBorder="1" applyAlignment="1">
      <alignment horizontal="center" vertical="center" wrapText="1"/>
    </xf>
    <xf numFmtId="175" fontId="2" fillId="0" borderId="1" xfId="0" applyNumberFormat="1" applyFont="1" applyFill="1" applyBorder="1" applyAlignment="1">
      <alignment horizontal="right" vertical="top"/>
    </xf>
    <xf numFmtId="0" fontId="80" fillId="0" borderId="0" xfId="0" applyFont="1" applyFill="1"/>
    <xf numFmtId="175" fontId="67" fillId="0" borderId="0" xfId="3" applyNumberFormat="1" applyFont="1" applyFill="1" applyAlignment="1">
      <alignment horizontal="center" vertical="center" wrapText="1"/>
    </xf>
    <xf numFmtId="175" fontId="65" fillId="0" borderId="1" xfId="3" applyNumberFormat="1" applyFont="1" applyFill="1" applyBorder="1" applyAlignment="1">
      <alignment horizontal="center" vertical="center" wrapText="1"/>
    </xf>
    <xf numFmtId="175" fontId="68" fillId="0" borderId="1" xfId="3" applyNumberFormat="1" applyFont="1" applyFill="1" applyBorder="1" applyAlignment="1">
      <alignment horizontal="center" vertical="center"/>
    </xf>
    <xf numFmtId="175" fontId="71" fillId="0" borderId="1" xfId="3" applyNumberFormat="1" applyFont="1" applyFill="1" applyBorder="1" applyAlignment="1">
      <alignment horizontal="center" vertical="center"/>
    </xf>
    <xf numFmtId="175" fontId="65" fillId="0" borderId="1" xfId="3" applyNumberFormat="1" applyFont="1" applyFill="1" applyBorder="1" applyAlignment="1">
      <alignment horizontal="center" vertical="center"/>
    </xf>
    <xf numFmtId="175" fontId="65" fillId="0" borderId="0" xfId="3" applyNumberFormat="1" applyFont="1" applyFill="1" applyAlignment="1">
      <alignment horizontal="center" vertical="center"/>
    </xf>
    <xf numFmtId="175" fontId="69" fillId="0" borderId="0" xfId="3" applyNumberFormat="1" applyFont="1" applyFill="1" applyAlignment="1">
      <alignment horizontal="center" vertical="center"/>
    </xf>
    <xf numFmtId="175" fontId="5" fillId="0" borderId="1" xfId="3" applyNumberFormat="1" applyFont="1" applyFill="1" applyBorder="1" applyAlignment="1">
      <alignment horizontal="center" vertical="center" wrapText="1"/>
    </xf>
    <xf numFmtId="175" fontId="65" fillId="0" borderId="9" xfId="3" applyNumberFormat="1" applyFont="1" applyFill="1" applyBorder="1" applyAlignment="1">
      <alignment horizontal="center" vertical="center" wrapText="1"/>
    </xf>
    <xf numFmtId="175" fontId="2" fillId="0" borderId="0" xfId="3" applyNumberFormat="1" applyFont="1" applyFill="1" applyAlignment="1">
      <alignment horizontal="center" vertical="center" wrapText="1"/>
    </xf>
    <xf numFmtId="175" fontId="65" fillId="0" borderId="0" xfId="3" applyNumberFormat="1" applyFont="1" applyFill="1" applyBorder="1" applyAlignment="1">
      <alignment horizontal="center" vertical="center" wrapText="1"/>
    </xf>
    <xf numFmtId="2" fontId="2" fillId="4" borderId="7" xfId="0" applyNumberFormat="1" applyFont="1" applyFill="1" applyBorder="1" applyAlignment="1">
      <alignment horizontal="center" vertical="center"/>
    </xf>
    <xf numFmtId="2" fontId="24" fillId="4" borderId="1"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2" fontId="24" fillId="4" borderId="1" xfId="0" applyNumberFormat="1" applyFont="1" applyFill="1" applyBorder="1" applyAlignment="1">
      <alignment horizontal="center" vertical="top"/>
    </xf>
    <xf numFmtId="2" fontId="24" fillId="4" borderId="1" xfId="0" applyNumberFormat="1" applyFont="1" applyFill="1" applyBorder="1" applyAlignment="1">
      <alignment horizontal="center" vertical="center"/>
    </xf>
    <xf numFmtId="2" fontId="25" fillId="4" borderId="1" xfId="0" applyNumberFormat="1" applyFont="1" applyFill="1" applyBorder="1" applyAlignment="1">
      <alignment horizontal="center" vertical="top" wrapText="1"/>
    </xf>
    <xf numFmtId="2" fontId="25" fillId="4" borderId="1" xfId="0" applyNumberFormat="1" applyFont="1" applyFill="1" applyBorder="1" applyAlignment="1">
      <alignment horizontal="center" vertical="top"/>
    </xf>
    <xf numFmtId="2" fontId="2" fillId="4" borderId="1" xfId="3" applyNumberFormat="1" applyFont="1" applyFill="1" applyBorder="1" applyAlignment="1">
      <alignment horizontal="center" vertical="center" wrapText="1"/>
    </xf>
    <xf numFmtId="2" fontId="2" fillId="4" borderId="3" xfId="0" applyNumberFormat="1" applyFont="1" applyFill="1" applyBorder="1" applyAlignment="1">
      <alignment horizontal="center" vertical="center"/>
    </xf>
    <xf numFmtId="2" fontId="2" fillId="4" borderId="3" xfId="0" applyNumberFormat="1" applyFont="1" applyFill="1" applyBorder="1" applyAlignment="1">
      <alignment horizontal="center" vertical="top"/>
    </xf>
    <xf numFmtId="2" fontId="2" fillId="4" borderId="12" xfId="0" applyNumberFormat="1" applyFont="1" applyFill="1" applyBorder="1" applyAlignment="1">
      <alignment horizontal="center" vertical="center" wrapText="1"/>
    </xf>
    <xf numFmtId="2" fontId="24" fillId="4" borderId="1" xfId="0" applyNumberFormat="1" applyFont="1" applyFill="1" applyBorder="1" applyAlignment="1">
      <alignment vertical="center" wrapText="1"/>
    </xf>
    <xf numFmtId="2" fontId="2" fillId="4" borderId="1" xfId="0" applyNumberFormat="1" applyFont="1" applyFill="1" applyBorder="1" applyAlignment="1">
      <alignment vertical="center" wrapText="1"/>
    </xf>
    <xf numFmtId="0" fontId="2" fillId="4" borderId="0" xfId="0" applyFont="1" applyFill="1" applyBorder="1" applyAlignment="1">
      <alignment vertical="top"/>
    </xf>
    <xf numFmtId="0" fontId="2" fillId="0" borderId="0" xfId="0" applyFont="1" applyFill="1" applyBorder="1" applyAlignment="1">
      <alignment horizontal="center" vertical="top"/>
    </xf>
    <xf numFmtId="3" fontId="2" fillId="4" borderId="0" xfId="0" applyNumberFormat="1" applyFont="1" applyFill="1" applyBorder="1" applyAlignment="1">
      <alignment horizontal="center" vertical="top"/>
    </xf>
    <xf numFmtId="0" fontId="2" fillId="4" borderId="0" xfId="0" applyFont="1" applyFill="1" applyBorder="1" applyAlignment="1">
      <alignment horizontal="center" vertical="top"/>
    </xf>
    <xf numFmtId="0" fontId="2" fillId="4" borderId="0" xfId="0" applyFont="1" applyFill="1" applyBorder="1" applyAlignment="1">
      <alignment horizontal="left" vertical="top"/>
    </xf>
    <xf numFmtId="0" fontId="2" fillId="0" borderId="0" xfId="0" applyFont="1" applyFill="1" applyBorder="1" applyAlignment="1">
      <alignment horizontal="center" vertical="top" wrapText="1"/>
    </xf>
    <xf numFmtId="0" fontId="2" fillId="4" borderId="0" xfId="0" applyFont="1" applyFill="1" applyBorder="1" applyAlignment="1">
      <alignment horizontal="left" vertical="center"/>
    </xf>
    <xf numFmtId="0" fontId="0" fillId="0" borderId="0" xfId="0" applyBorder="1"/>
    <xf numFmtId="0" fontId="81" fillId="4" borderId="0" xfId="0" applyFont="1" applyFill="1" applyBorder="1" applyAlignment="1">
      <alignment horizontal="left" vertical="center"/>
    </xf>
    <xf numFmtId="0" fontId="51" fillId="0" borderId="0" xfId="0" applyFont="1" applyBorder="1"/>
    <xf numFmtId="0" fontId="81" fillId="4" borderId="0" xfId="0" applyFont="1" applyFill="1" applyBorder="1" applyAlignment="1">
      <alignment vertical="top"/>
    </xf>
    <xf numFmtId="0" fontId="81" fillId="4" borderId="0" xfId="0" applyFont="1" applyFill="1" applyBorder="1" applyAlignment="1">
      <alignment horizontal="left" vertical="top" wrapText="1"/>
    </xf>
    <xf numFmtId="0" fontId="81" fillId="0" borderId="0" xfId="0" applyFont="1" applyFill="1" applyBorder="1" applyAlignment="1">
      <alignment horizontal="center" vertical="top"/>
    </xf>
    <xf numFmtId="0" fontId="81" fillId="4" borderId="0" xfId="0" applyFont="1" applyFill="1" applyBorder="1" applyAlignment="1">
      <alignment horizontal="center" vertical="top"/>
    </xf>
    <xf numFmtId="3" fontId="81" fillId="4" borderId="0" xfId="0" applyNumberFormat="1" applyFont="1" applyFill="1" applyBorder="1" applyAlignment="1">
      <alignment horizontal="center" vertical="top"/>
    </xf>
    <xf numFmtId="49" fontId="82" fillId="4" borderId="0" xfId="0" applyNumberFormat="1" applyFont="1" applyFill="1" applyAlignment="1">
      <alignment horizontal="center" vertical="top" wrapText="1"/>
    </xf>
    <xf numFmtId="0" fontId="82" fillId="4" borderId="0" xfId="0" applyFont="1" applyFill="1" applyAlignment="1">
      <alignment vertical="top" wrapText="1"/>
    </xf>
    <xf numFmtId="175" fontId="82" fillId="4" borderId="0" xfId="0" applyNumberFormat="1" applyFont="1" applyFill="1" applyAlignment="1">
      <alignment vertical="top" wrapText="1"/>
    </xf>
    <xf numFmtId="175" fontId="82" fillId="4" borderId="0" xfId="0" applyNumberFormat="1" applyFont="1" applyFill="1" applyAlignment="1">
      <alignment horizontal="center" vertical="top" wrapText="1"/>
    </xf>
    <xf numFmtId="175" fontId="82" fillId="4" borderId="0" xfId="0" applyNumberFormat="1" applyFont="1" applyFill="1" applyAlignment="1">
      <alignment horizontal="right" vertical="top" wrapText="1"/>
    </xf>
    <xf numFmtId="175" fontId="83" fillId="0" borderId="0" xfId="0" applyNumberFormat="1" applyFont="1" applyFill="1" applyAlignment="1">
      <alignment horizontal="right" vertical="top" wrapText="1"/>
    </xf>
    <xf numFmtId="175" fontId="83" fillId="4" borderId="0" xfId="0" applyNumberFormat="1" applyFont="1" applyFill="1" applyAlignment="1">
      <alignment horizontal="right" vertical="top" wrapText="1"/>
    </xf>
    <xf numFmtId="0" fontId="81" fillId="4" borderId="0" xfId="0" applyFont="1" applyFill="1" applyBorder="1" applyAlignment="1">
      <alignment horizontal="left" vertical="top"/>
    </xf>
    <xf numFmtId="0" fontId="2" fillId="4" borderId="0" xfId="0" applyFont="1" applyFill="1" applyBorder="1" applyAlignment="1">
      <alignment horizontal="left" vertical="top"/>
    </xf>
    <xf numFmtId="175" fontId="65" fillId="4" borderId="0" xfId="0" applyNumberFormat="1" applyFont="1" applyFill="1" applyAlignment="1">
      <alignment horizontal="left" vertical="top" wrapText="1"/>
    </xf>
    <xf numFmtId="175" fontId="66" fillId="0" borderId="0" xfId="0" applyNumberFormat="1" applyFont="1" applyFill="1" applyAlignment="1">
      <alignment horizontal="left" vertical="top" wrapText="1"/>
    </xf>
    <xf numFmtId="3" fontId="2" fillId="4" borderId="0" xfId="0" applyNumberFormat="1" applyFont="1" applyFill="1" applyBorder="1" applyAlignment="1">
      <alignment horizontal="left" vertical="top"/>
    </xf>
    <xf numFmtId="0" fontId="84" fillId="4" borderId="0" xfId="0" applyFont="1" applyFill="1" applyBorder="1" applyAlignment="1">
      <alignment horizontal="left" vertical="top"/>
    </xf>
    <xf numFmtId="0" fontId="0" fillId="0" borderId="0" xfId="0" applyBorder="1" applyAlignment="1">
      <alignment horizontal="left"/>
    </xf>
    <xf numFmtId="0" fontId="85" fillId="0" borderId="0" xfId="0" applyFont="1"/>
    <xf numFmtId="0" fontId="86" fillId="0" borderId="0" xfId="0" applyFont="1"/>
    <xf numFmtId="0" fontId="85" fillId="0" borderId="0" xfId="0" applyFont="1" applyFill="1"/>
    <xf numFmtId="0" fontId="87" fillId="4" borderId="0" xfId="0" applyFont="1" applyFill="1" applyBorder="1" applyAlignment="1">
      <alignment vertical="top"/>
    </xf>
    <xf numFmtId="0" fontId="87" fillId="4" borderId="0" xfId="0" applyFont="1" applyFill="1" applyBorder="1" applyAlignment="1">
      <alignment horizontal="left" vertical="top"/>
    </xf>
    <xf numFmtId="0" fontId="87" fillId="0" borderId="0" xfId="0" applyFont="1" applyFill="1" applyBorder="1" applyAlignment="1">
      <alignment horizontal="center" vertical="top"/>
    </xf>
    <xf numFmtId="3" fontId="87" fillId="4" borderId="0" xfId="0" applyNumberFormat="1" applyFont="1" applyFill="1" applyBorder="1" applyAlignment="1">
      <alignment horizontal="left" vertical="top"/>
    </xf>
    <xf numFmtId="0" fontId="87" fillId="4" borderId="0" xfId="0" applyFont="1" applyFill="1" applyBorder="1" applyAlignment="1">
      <alignment horizontal="left" vertical="center"/>
    </xf>
    <xf numFmtId="0" fontId="86" fillId="0" borderId="0" xfId="0" applyFont="1" applyBorder="1"/>
    <xf numFmtId="0" fontId="87" fillId="4" borderId="0" xfId="0" applyFont="1" applyFill="1" applyBorder="1" applyAlignment="1">
      <alignment horizontal="left" vertical="top" wrapText="1"/>
    </xf>
    <xf numFmtId="0" fontId="88" fillId="4" borderId="0" xfId="0" applyFont="1" applyFill="1" applyBorder="1" applyAlignment="1">
      <alignment horizontal="left" vertical="top"/>
    </xf>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4" fontId="2" fillId="0" borderId="1" xfId="0" applyNumberFormat="1" applyFont="1" applyFill="1" applyBorder="1" applyAlignment="1">
      <alignment horizontal="center" vertical="top" wrapText="1"/>
    </xf>
    <xf numFmtId="49" fontId="5" fillId="0" borderId="1" xfId="0" applyNumberFormat="1" applyFont="1" applyBorder="1" applyAlignment="1">
      <alignment horizontal="left" vertical="top" wrapText="1"/>
    </xf>
    <xf numFmtId="0" fontId="5" fillId="4" borderId="9"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 xfId="0"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4" borderId="2"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5" xfId="0" applyFont="1" applyFill="1" applyBorder="1" applyAlignment="1">
      <alignment horizontal="left" vertical="top" wrapText="1"/>
    </xf>
    <xf numFmtId="0" fontId="24" fillId="4" borderId="8"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2" xfId="0" applyFont="1" applyFill="1" applyBorder="1" applyAlignment="1">
      <alignment horizontal="left" vertical="top" wrapText="1"/>
    </xf>
    <xf numFmtId="0" fontId="39" fillId="4" borderId="9"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2" fillId="4" borderId="2" xfId="0" applyFont="1" applyFill="1" applyBorder="1" applyAlignment="1">
      <alignment horizontal="left" vertical="top" wrapText="1"/>
    </xf>
    <xf numFmtId="0" fontId="22" fillId="4" borderId="1" xfId="0" applyFont="1" applyFill="1" applyBorder="1" applyAlignment="1">
      <alignment horizontal="left" vertical="top" wrapText="1"/>
    </xf>
    <xf numFmtId="49" fontId="24" fillId="4" borderId="2" xfId="0"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7" xfId="0" applyFont="1" applyFill="1" applyBorder="1" applyAlignment="1">
      <alignment horizontal="left" vertical="top" wrapText="1"/>
    </xf>
    <xf numFmtId="0" fontId="24" fillId="4" borderId="10" xfId="0" applyFont="1" applyFill="1" applyBorder="1" applyAlignment="1">
      <alignment horizontal="left" vertical="top" wrapText="1"/>
    </xf>
    <xf numFmtId="0" fontId="39" fillId="4" borderId="13" xfId="0" applyFont="1" applyFill="1" applyBorder="1" applyAlignment="1">
      <alignment horizontal="left"/>
    </xf>
    <xf numFmtId="0" fontId="39" fillId="4" borderId="7" xfId="0" applyFont="1" applyFill="1" applyBorder="1" applyAlignment="1">
      <alignment horizontal="left"/>
    </xf>
    <xf numFmtId="0" fontId="39" fillId="4" borderId="0" xfId="0" applyFont="1" applyFill="1" applyBorder="1" applyAlignment="1">
      <alignment horizontal="left"/>
    </xf>
    <xf numFmtId="0" fontId="39" fillId="4" borderId="10" xfId="0" applyFont="1" applyFill="1" applyBorder="1" applyAlignment="1">
      <alignment horizontal="left"/>
    </xf>
    <xf numFmtId="0" fontId="5" fillId="4" borderId="0" xfId="0" applyFont="1" applyFill="1" applyBorder="1" applyAlignment="1">
      <alignment horizontal="center" vertical="top"/>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39" fillId="4" borderId="9" xfId="0" applyFont="1" applyFill="1" applyBorder="1" applyAlignment="1">
      <alignment vertical="center" wrapText="1"/>
    </xf>
    <xf numFmtId="0" fontId="39" fillId="4" borderId="14" xfId="0" applyFont="1" applyFill="1" applyBorder="1" applyAlignment="1">
      <alignment vertical="center" wrapText="1"/>
    </xf>
    <xf numFmtId="0" fontId="39" fillId="4" borderId="2" xfId="0" applyFont="1" applyFill="1" applyBorder="1" applyAlignment="1">
      <alignment vertical="center" wrapText="1"/>
    </xf>
    <xf numFmtId="0" fontId="24" fillId="4" borderId="1" xfId="0" applyFont="1" applyFill="1" applyBorder="1" applyAlignment="1">
      <alignment horizontal="left" vertical="top" wrapText="1"/>
    </xf>
    <xf numFmtId="0" fontId="39" fillId="4" borderId="9" xfId="0" applyFont="1" applyFill="1" applyBorder="1" applyAlignment="1">
      <alignment vertical="top" wrapText="1"/>
    </xf>
    <xf numFmtId="0" fontId="39" fillId="4" borderId="14" xfId="0" applyFont="1" applyFill="1" applyBorder="1" applyAlignment="1">
      <alignment vertical="top" wrapText="1"/>
    </xf>
    <xf numFmtId="0" fontId="39" fillId="4" borderId="2" xfId="0" applyFont="1" applyFill="1" applyBorder="1" applyAlignment="1">
      <alignment vertical="top" wrapText="1"/>
    </xf>
    <xf numFmtId="49" fontId="5" fillId="0" borderId="1" xfId="0" applyNumberFormat="1" applyFont="1" applyFill="1" applyBorder="1" applyAlignment="1">
      <alignment horizontal="left" vertical="top" wrapText="1"/>
    </xf>
    <xf numFmtId="49" fontId="10"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4" fontId="2" fillId="0" borderId="3" xfId="0" applyNumberFormat="1" applyFont="1" applyFill="1" applyBorder="1" applyAlignment="1">
      <alignment horizontal="center" vertical="top" wrapText="1"/>
    </xf>
    <xf numFmtId="0" fontId="24" fillId="6" borderId="9"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2"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2" xfId="0" applyFont="1" applyFill="1" applyBorder="1" applyAlignment="1">
      <alignment horizontal="left" vertical="top" wrapText="1"/>
    </xf>
    <xf numFmtId="0" fontId="5" fillId="6" borderId="9"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0" xfId="0"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9" fillId="0" borderId="13" xfId="0" applyFont="1" applyFill="1" applyBorder="1" applyAlignment="1">
      <alignment horizontal="left" vertical="top"/>
    </xf>
    <xf numFmtId="0" fontId="39" fillId="0" borderId="7" xfId="0" applyFont="1" applyFill="1" applyBorder="1" applyAlignment="1">
      <alignment horizontal="left" vertical="top"/>
    </xf>
    <xf numFmtId="0" fontId="39" fillId="0" borderId="0" xfId="0" applyFont="1" applyFill="1" applyBorder="1" applyAlignment="1">
      <alignment horizontal="left" vertical="top"/>
    </xf>
    <xf numFmtId="0" fontId="39" fillId="0" borderId="10" xfId="0" applyFont="1" applyFill="1" applyBorder="1" applyAlignment="1">
      <alignment horizontal="left" vertical="top"/>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9" xfId="0"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9" fontId="10"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3" xfId="0" applyNumberFormat="1" applyFont="1" applyFill="1" applyBorder="1" applyAlignment="1">
      <alignment horizontal="center" vertical="top" wrapText="1"/>
    </xf>
    <xf numFmtId="49" fontId="5" fillId="4" borderId="1"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5" xfId="0" applyFont="1" applyFill="1" applyBorder="1" applyAlignment="1">
      <alignment horizontal="left" vertical="top" wrapText="1"/>
    </xf>
    <xf numFmtId="4" fontId="2" fillId="4" borderId="1" xfId="0" applyNumberFormat="1" applyFont="1" applyFill="1" applyBorder="1" applyAlignment="1">
      <alignment horizontal="center" vertical="center" wrapText="1"/>
    </xf>
    <xf numFmtId="4" fontId="60" fillId="4" borderId="1" xfId="0" applyNumberFormat="1" applyFont="1" applyFill="1" applyBorder="1" applyAlignment="1">
      <alignment horizontal="center" vertical="center" wrapText="1"/>
    </xf>
    <xf numFmtId="0" fontId="24" fillId="0" borderId="13"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10" xfId="0" applyFont="1" applyFill="1" applyBorder="1" applyAlignment="1">
      <alignment horizontal="left" vertical="top"/>
    </xf>
    <xf numFmtId="0" fontId="24" fillId="4" borderId="9" xfId="0" applyFont="1" applyFill="1" applyBorder="1" applyAlignment="1">
      <alignment vertical="top" wrapText="1"/>
    </xf>
    <xf numFmtId="0" fontId="24" fillId="4" borderId="14" xfId="0" applyFont="1" applyFill="1" applyBorder="1" applyAlignment="1">
      <alignment vertical="top" wrapText="1"/>
    </xf>
    <xf numFmtId="0" fontId="24" fillId="4" borderId="2" xfId="0" applyFont="1" applyFill="1" applyBorder="1" applyAlignment="1">
      <alignment vertical="top" wrapText="1"/>
    </xf>
    <xf numFmtId="0" fontId="2" fillId="4" borderId="0" xfId="0" applyFont="1" applyFill="1" applyBorder="1" applyAlignment="1">
      <alignment horizontal="left" vertical="center" wrapText="1"/>
    </xf>
    <xf numFmtId="0" fontId="0" fillId="0" borderId="0" xfId="0" applyAlignment="1">
      <alignment wrapText="1"/>
    </xf>
    <xf numFmtId="49" fontId="69" fillId="4" borderId="1" xfId="0" applyNumberFormat="1" applyFont="1" applyFill="1" applyBorder="1" applyAlignment="1">
      <alignment horizontal="left" vertical="top" wrapText="1"/>
    </xf>
    <xf numFmtId="0" fontId="65" fillId="4" borderId="9" xfId="0" applyFont="1" applyFill="1" applyBorder="1" applyAlignment="1">
      <alignment horizontal="center" vertical="center" wrapText="1"/>
    </xf>
    <xf numFmtId="0" fontId="65" fillId="4" borderId="14" xfId="0" applyFont="1" applyFill="1" applyBorder="1" applyAlignment="1">
      <alignment horizontal="center" vertical="center" wrapText="1"/>
    </xf>
    <xf numFmtId="0" fontId="65" fillId="4" borderId="2" xfId="0" applyFont="1" applyFill="1" applyBorder="1" applyAlignment="1">
      <alignment horizontal="center" vertical="center" wrapText="1"/>
    </xf>
    <xf numFmtId="4" fontId="65" fillId="4" borderId="9" xfId="0" applyNumberFormat="1" applyFont="1" applyFill="1" applyBorder="1" applyAlignment="1">
      <alignment horizontal="center" vertical="center" wrapText="1"/>
    </xf>
    <xf numFmtId="4" fontId="65" fillId="4" borderId="14" xfId="0" applyNumberFormat="1" applyFont="1" applyFill="1" applyBorder="1" applyAlignment="1">
      <alignment horizontal="center" vertical="center" wrapText="1"/>
    </xf>
    <xf numFmtId="4" fontId="65" fillId="4" borderId="2" xfId="0" applyNumberFormat="1" applyFont="1" applyFill="1" applyBorder="1" applyAlignment="1">
      <alignment horizontal="center" vertical="center" wrapText="1"/>
    </xf>
    <xf numFmtId="49" fontId="69" fillId="4" borderId="0" xfId="0" applyNumberFormat="1" applyFont="1" applyFill="1" applyAlignment="1">
      <alignment horizontal="center" vertical="top"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4" fontId="65" fillId="4" borderId="1" xfId="0" applyNumberFormat="1" applyFont="1" applyFill="1" applyBorder="1" applyAlignment="1">
      <alignment horizontal="right" vertical="top" wrapText="1"/>
    </xf>
    <xf numFmtId="4" fontId="65" fillId="4" borderId="1" xfId="0" applyNumberFormat="1" applyFont="1" applyFill="1" applyBorder="1" applyAlignment="1">
      <alignment horizontal="center" vertical="center" wrapText="1"/>
    </xf>
    <xf numFmtId="4" fontId="65" fillId="4" borderId="1" xfId="0" applyNumberFormat="1" applyFont="1" applyFill="1" applyBorder="1" applyAlignment="1">
      <alignment horizontal="center" vertical="top" wrapText="1"/>
    </xf>
    <xf numFmtId="4" fontId="65" fillId="4" borderId="3" xfId="0" applyNumberFormat="1" applyFont="1" applyFill="1" applyBorder="1" applyAlignment="1">
      <alignment horizontal="center" vertical="top" wrapText="1"/>
    </xf>
    <xf numFmtId="0" fontId="87" fillId="4" borderId="0" xfId="0" applyFont="1" applyFill="1" applyBorder="1" applyAlignment="1">
      <alignment horizontal="left" vertical="top" wrapText="1"/>
    </xf>
    <xf numFmtId="175" fontId="65" fillId="4" borderId="9" xfId="0" applyNumberFormat="1" applyFont="1" applyFill="1" applyBorder="1" applyAlignment="1">
      <alignment horizontal="center" vertical="center" wrapText="1"/>
    </xf>
    <xf numFmtId="175" fontId="65" fillId="4" borderId="14" xfId="0" applyNumberFormat="1" applyFont="1" applyFill="1" applyBorder="1" applyAlignment="1">
      <alignment horizontal="center" vertical="center" wrapText="1"/>
    </xf>
    <xf numFmtId="175" fontId="65" fillId="4" borderId="2" xfId="0" applyNumberFormat="1" applyFont="1" applyFill="1" applyBorder="1" applyAlignment="1">
      <alignment horizontal="center" vertical="center" wrapText="1"/>
    </xf>
    <xf numFmtId="175" fontId="65" fillId="4" borderId="1" xfId="0" applyNumberFormat="1" applyFont="1" applyFill="1" applyBorder="1" applyAlignment="1">
      <alignment horizontal="center" vertical="top" wrapText="1"/>
    </xf>
    <xf numFmtId="175" fontId="65" fillId="4" borderId="1" xfId="0" applyNumberFormat="1" applyFont="1" applyFill="1" applyBorder="1" applyAlignment="1">
      <alignment horizontal="right" vertical="top" wrapText="1"/>
    </xf>
    <xf numFmtId="175" fontId="65" fillId="4" borderId="1" xfId="0" applyNumberFormat="1" applyFont="1" applyFill="1" applyBorder="1" applyAlignment="1">
      <alignment horizontal="center" vertical="center" wrapText="1"/>
    </xf>
    <xf numFmtId="175" fontId="65" fillId="0" borderId="1" xfId="3" applyNumberFormat="1" applyFont="1" applyFill="1" applyBorder="1" applyAlignment="1">
      <alignment horizontal="center" vertical="center" wrapText="1"/>
    </xf>
    <xf numFmtId="175" fontId="65" fillId="4" borderId="1" xfId="3" applyNumberFormat="1" applyFont="1" applyFill="1" applyBorder="1" applyAlignment="1">
      <alignment horizontal="center" vertical="center" wrapText="1"/>
    </xf>
    <xf numFmtId="175" fontId="65" fillId="4" borderId="3" xfId="3" applyNumberFormat="1" applyFont="1" applyFill="1" applyBorder="1" applyAlignment="1">
      <alignment horizontal="center" vertical="center" wrapText="1"/>
    </xf>
    <xf numFmtId="0" fontId="2" fillId="4" borderId="0" xfId="0" applyFont="1" applyFill="1" applyBorder="1" applyAlignment="1">
      <alignment horizontal="left" vertical="top" wrapText="1"/>
    </xf>
    <xf numFmtId="0" fontId="2" fillId="4" borderId="0" xfId="0" applyFont="1" applyFill="1" applyBorder="1" applyAlignment="1">
      <alignment horizontal="left" vertical="top"/>
    </xf>
    <xf numFmtId="0" fontId="24" fillId="4" borderId="13" xfId="0" applyFont="1" applyFill="1" applyBorder="1" applyAlignment="1">
      <alignment horizontal="left" vertical="top"/>
    </xf>
    <xf numFmtId="0" fontId="24" fillId="4" borderId="7" xfId="0" applyFont="1" applyFill="1" applyBorder="1" applyAlignment="1">
      <alignment horizontal="left" vertical="top"/>
    </xf>
    <xf numFmtId="0" fontId="24" fillId="4" borderId="0" xfId="0" applyFont="1" applyFill="1" applyBorder="1" applyAlignment="1">
      <alignment horizontal="left" vertical="top"/>
    </xf>
    <xf numFmtId="0" fontId="24" fillId="4" borderId="10" xfId="0" applyFont="1" applyFill="1" applyBorder="1" applyAlignment="1">
      <alignment horizontal="left" vertical="top"/>
    </xf>
    <xf numFmtId="0" fontId="5" fillId="4" borderId="1" xfId="0" applyFont="1" applyFill="1" applyBorder="1" applyAlignment="1">
      <alignment horizontal="center" vertical="center" wrapText="1"/>
    </xf>
  </cellXfs>
  <cellStyles count="5">
    <cellStyle name="S11" xfId="4"/>
    <cellStyle name="Відсотковий" xfId="2" builtinId="5"/>
    <cellStyle name="Звичайний" xfId="0" builtinId="0"/>
    <cellStyle name="Нейтральний" xfId="1" builtinId="28"/>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85" zoomScaleNormal="100" zoomScaleSheetLayoutView="85" workbookViewId="0">
      <selection sqref="A1:S1"/>
    </sheetView>
  </sheetViews>
  <sheetFormatPr defaultRowHeight="21" x14ac:dyDescent="0.35"/>
  <cols>
    <col min="1" max="1" width="9.140625" style="80"/>
    <col min="2" max="16384" width="9.140625" style="81"/>
  </cols>
  <sheetData>
    <row r="1" spans="1:20" s="73" customFormat="1" ht="26.25" x14ac:dyDescent="0.25">
      <c r="A1" s="1118" t="s">
        <v>237</v>
      </c>
      <c r="B1" s="1118"/>
      <c r="C1" s="1118"/>
      <c r="D1" s="1118"/>
      <c r="E1" s="1118"/>
      <c r="F1" s="1118"/>
      <c r="G1" s="1118"/>
      <c r="H1" s="1118"/>
      <c r="I1" s="1118"/>
      <c r="J1" s="1118"/>
      <c r="K1" s="1118"/>
      <c r="L1" s="1118"/>
      <c r="M1" s="1118"/>
      <c r="N1" s="1118"/>
      <c r="O1" s="1118"/>
      <c r="P1" s="1118"/>
      <c r="Q1" s="1118"/>
      <c r="R1" s="1118"/>
      <c r="S1" s="1118"/>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19" t="s">
        <v>18</v>
      </c>
      <c r="C3" s="1119"/>
      <c r="D3" s="1119"/>
      <c r="E3" s="1119"/>
      <c r="F3" s="1119"/>
      <c r="G3" s="1119"/>
      <c r="H3" s="1119"/>
      <c r="I3" s="1119"/>
      <c r="J3" s="1119"/>
      <c r="K3" s="1119"/>
      <c r="L3" s="1119"/>
      <c r="M3" s="1119"/>
      <c r="N3" s="1119"/>
      <c r="O3" s="1119"/>
      <c r="P3" s="1119"/>
      <c r="Q3" s="1119"/>
      <c r="R3" s="1119"/>
      <c r="S3" s="1119"/>
      <c r="T3" s="1119"/>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19" t="s">
        <v>25</v>
      </c>
      <c r="C9" s="1119"/>
      <c r="D9" s="1119"/>
      <c r="E9" s="1119"/>
      <c r="F9" s="1119"/>
      <c r="G9" s="1119"/>
      <c r="H9" s="1119"/>
      <c r="I9" s="1119"/>
      <c r="J9" s="1119"/>
      <c r="K9" s="1119"/>
      <c r="L9" s="1119"/>
      <c r="M9" s="1119"/>
      <c r="N9" s="1119"/>
      <c r="O9" s="1119"/>
      <c r="P9" s="1119"/>
      <c r="Q9" s="1119"/>
      <c r="R9" s="1119"/>
      <c r="S9" s="1119"/>
      <c r="T9" s="1119"/>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19" t="s">
        <v>24</v>
      </c>
      <c r="C13" s="1119"/>
      <c r="D13" s="1119"/>
      <c r="E13" s="1119"/>
      <c r="F13" s="1119"/>
      <c r="G13" s="1119"/>
      <c r="H13" s="1119"/>
      <c r="I13" s="1119"/>
      <c r="J13" s="1119"/>
      <c r="K13" s="1119"/>
      <c r="L13" s="1119"/>
      <c r="M13" s="1119"/>
      <c r="N13" s="1119"/>
      <c r="O13" s="1119"/>
      <c r="P13" s="1119"/>
      <c r="Q13" s="1119"/>
      <c r="R13" s="1119"/>
      <c r="S13" s="1119"/>
      <c r="T13" s="1119"/>
    </row>
  </sheetData>
  <mergeCells count="4">
    <mergeCell ref="A1:S1"/>
    <mergeCell ref="B3:T3"/>
    <mergeCell ref="B9:T9"/>
    <mergeCell ref="B13:T13"/>
  </mergeCells>
  <phoneticPr fontId="1" type="noConversion"/>
  <printOptions horizont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26" sqref="E26"/>
    </sheetView>
  </sheetViews>
  <sheetFormatPr defaultRowHeight="15" x14ac:dyDescent="0.25"/>
  <cols>
    <col min="2" max="9" width="20.42578125" customWidth="1"/>
    <col min="10" max="10" width="12.140625" customWidth="1"/>
  </cols>
  <sheetData>
    <row r="1" spans="1:11" s="298" customFormat="1" ht="15.75" customHeight="1" x14ac:dyDescent="0.25">
      <c r="A1" s="1128"/>
      <c r="B1" s="1126" t="s">
        <v>45</v>
      </c>
      <c r="C1" s="1126"/>
      <c r="D1" s="1126"/>
      <c r="E1" s="1126"/>
      <c r="F1" s="1126" t="s">
        <v>40</v>
      </c>
      <c r="G1" s="1126"/>
      <c r="H1" s="1126"/>
      <c r="I1" s="1126"/>
    </row>
    <row r="2" spans="1:11" s="299" customFormat="1" ht="15.75" x14ac:dyDescent="0.25">
      <c r="A2" s="1128"/>
      <c r="B2" s="1126" t="s">
        <v>41</v>
      </c>
      <c r="C2" s="1126" t="s">
        <v>42</v>
      </c>
      <c r="D2" s="1126"/>
      <c r="E2" s="1126"/>
      <c r="F2" s="1131" t="s">
        <v>41</v>
      </c>
      <c r="G2" s="1126" t="s">
        <v>42</v>
      </c>
      <c r="H2" s="1126"/>
      <c r="I2" s="1126"/>
    </row>
    <row r="3" spans="1:11" s="277" customFormat="1" ht="31.5" x14ac:dyDescent="0.25">
      <c r="A3" s="1128"/>
      <c r="B3" s="1126"/>
      <c r="C3" s="284" t="s">
        <v>44</v>
      </c>
      <c r="D3" s="284" t="s">
        <v>43</v>
      </c>
      <c r="E3" s="284" t="s">
        <v>27</v>
      </c>
      <c r="F3" s="1131"/>
      <c r="G3" s="284" t="s">
        <v>44</v>
      </c>
      <c r="H3" s="284" t="s">
        <v>43</v>
      </c>
      <c r="I3" s="284" t="s">
        <v>27</v>
      </c>
    </row>
    <row r="4" spans="1:11" x14ac:dyDescent="0.25">
      <c r="B4" t="s">
        <v>564</v>
      </c>
      <c r="G4" s="301">
        <v>52181.45</v>
      </c>
      <c r="H4" s="305">
        <v>16226773.810000001</v>
      </c>
      <c r="I4" s="301">
        <v>65533.440979999999</v>
      </c>
    </row>
    <row r="5" spans="1:11" x14ac:dyDescent="0.25">
      <c r="B5" t="s">
        <v>565</v>
      </c>
      <c r="G5" s="301"/>
      <c r="H5" s="305"/>
      <c r="I5" s="301">
        <v>2101.2952500000001</v>
      </c>
    </row>
    <row r="6" spans="1:11" x14ac:dyDescent="0.25">
      <c r="B6" t="s">
        <v>566</v>
      </c>
      <c r="G6" s="301">
        <v>200.95301000000001</v>
      </c>
      <c r="H6" s="305"/>
      <c r="I6" s="301">
        <v>186.94851</v>
      </c>
    </row>
    <row r="7" spans="1:11" x14ac:dyDescent="0.25">
      <c r="B7" t="s">
        <v>34</v>
      </c>
      <c r="G7" s="301"/>
      <c r="H7" s="305"/>
      <c r="I7" s="301">
        <v>43070.418160000001</v>
      </c>
    </row>
    <row r="8" spans="1:11" x14ac:dyDescent="0.25">
      <c r="B8" t="s">
        <v>567</v>
      </c>
      <c r="G8" s="301"/>
      <c r="H8" s="305"/>
      <c r="I8" s="301">
        <f>966.736+562+51.728</f>
        <v>1580.4639999999999</v>
      </c>
    </row>
    <row r="9" spans="1:11" ht="15.75" thickBot="1" x14ac:dyDescent="0.3">
      <c r="B9" t="s">
        <v>568</v>
      </c>
      <c r="G9" s="301"/>
      <c r="H9" s="305"/>
      <c r="I9" s="301">
        <v>5745.9870000000001</v>
      </c>
    </row>
    <row r="10" spans="1:11" ht="15.75" thickBot="1" x14ac:dyDescent="0.3">
      <c r="B10" s="304">
        <f>SUM(C10:E10)</f>
        <v>225844.83000000002</v>
      </c>
      <c r="C10" s="309">
        <v>73091.67</v>
      </c>
      <c r="D10" s="309">
        <v>19181.46</v>
      </c>
      <c r="E10" s="309">
        <v>133571.70000000001</v>
      </c>
      <c r="F10" s="304">
        <f>SUM(G10:I10)</f>
        <v>186827.69501</v>
      </c>
      <c r="G10" s="303">
        <f>SUM(G4:G9)</f>
        <v>52382.403009999995</v>
      </c>
      <c r="H10" s="306">
        <v>16226.7381</v>
      </c>
      <c r="I10" s="303">
        <f>SUM(I4:I9)</f>
        <v>118218.5539</v>
      </c>
      <c r="J10" s="310">
        <f>F10/B10</f>
        <v>0.82723919343205676</v>
      </c>
      <c r="K10" s="310">
        <f>H10/D10</f>
        <v>0.84595948900657203</v>
      </c>
    </row>
    <row r="11" spans="1:11" x14ac:dyDescent="0.25">
      <c r="G11" s="301"/>
      <c r="H11" s="305"/>
      <c r="I11" s="301"/>
    </row>
    <row r="12" spans="1:11" x14ac:dyDescent="0.25">
      <c r="G12" s="301"/>
      <c r="H12" s="305"/>
      <c r="I12" s="301"/>
    </row>
    <row r="13" spans="1:11" x14ac:dyDescent="0.25">
      <c r="G13" s="301"/>
      <c r="H13" s="305"/>
      <c r="I13" s="301"/>
    </row>
    <row r="14" spans="1:11" x14ac:dyDescent="0.25">
      <c r="G14" s="301"/>
      <c r="H14" s="301"/>
      <c r="I14" s="301"/>
    </row>
    <row r="15" spans="1:11" x14ac:dyDescent="0.25">
      <c r="G15" s="301"/>
      <c r="H15" s="301"/>
      <c r="I15" s="301"/>
    </row>
    <row r="16" spans="1:11" x14ac:dyDescent="0.25">
      <c r="B16" s="302"/>
      <c r="G16" s="301"/>
      <c r="H16" s="301"/>
      <c r="I16" s="301"/>
    </row>
    <row r="17" spans="2:9" x14ac:dyDescent="0.25">
      <c r="B17" s="302"/>
      <c r="G17" s="301"/>
      <c r="H17" s="301"/>
      <c r="I17" s="301"/>
    </row>
    <row r="18" spans="2:9" x14ac:dyDescent="0.25">
      <c r="B18" s="302"/>
      <c r="G18" s="301"/>
      <c r="H18" s="301"/>
      <c r="I18" s="301"/>
    </row>
    <row r="19" spans="2:9" x14ac:dyDescent="0.25">
      <c r="B19" s="302"/>
      <c r="G19" s="300"/>
      <c r="H19" s="300"/>
      <c r="I19" s="300"/>
    </row>
    <row r="20" spans="2:9" x14ac:dyDescent="0.25">
      <c r="B20" s="302"/>
      <c r="G20" s="300"/>
      <c r="H20" s="300"/>
      <c r="I20" s="300"/>
    </row>
    <row r="21" spans="2:9" x14ac:dyDescent="0.25">
      <c r="B21" s="302"/>
      <c r="G21" s="300"/>
      <c r="H21" s="300"/>
      <c r="I21" s="300"/>
    </row>
    <row r="22" spans="2:9" x14ac:dyDescent="0.25">
      <c r="C22" s="300"/>
      <c r="D22" s="300"/>
      <c r="E22" s="300"/>
    </row>
    <row r="23" spans="2:9" x14ac:dyDescent="0.25">
      <c r="C23" s="300"/>
      <c r="D23" s="300"/>
      <c r="E23" s="300"/>
    </row>
    <row r="24" spans="2:9" x14ac:dyDescent="0.25">
      <c r="C24" s="300"/>
      <c r="D24" s="300"/>
      <c r="E24" s="300"/>
    </row>
    <row r="25" spans="2:9" x14ac:dyDescent="0.25">
      <c r="C25" s="300"/>
      <c r="D25" s="300"/>
      <c r="E25" s="300"/>
    </row>
    <row r="26" spans="2:9" x14ac:dyDescent="0.25">
      <c r="C26" s="300"/>
      <c r="D26" s="300"/>
      <c r="E26" s="300"/>
    </row>
    <row r="27" spans="2:9" x14ac:dyDescent="0.25">
      <c r="C27" s="300"/>
      <c r="D27" s="300"/>
      <c r="E27" s="300"/>
    </row>
    <row r="28" spans="2:9" x14ac:dyDescent="0.25">
      <c r="C28" s="300"/>
      <c r="D28" s="300"/>
      <c r="E28" s="300"/>
    </row>
    <row r="29" spans="2:9" x14ac:dyDescent="0.25">
      <c r="C29" s="300"/>
      <c r="D29" s="300"/>
      <c r="E29" s="300"/>
    </row>
    <row r="30" spans="2:9" x14ac:dyDescent="0.25">
      <c r="C30" s="300"/>
      <c r="D30" s="300"/>
      <c r="E30" s="300"/>
    </row>
    <row r="31" spans="2:9" x14ac:dyDescent="0.25">
      <c r="C31" s="300"/>
      <c r="D31" s="300"/>
      <c r="E31" s="300"/>
    </row>
  </sheetData>
  <mergeCells count="7">
    <mergeCell ref="A1:A3"/>
    <mergeCell ref="B1:E1"/>
    <mergeCell ref="F1:I1"/>
    <mergeCell ref="B2:B3"/>
    <mergeCell ref="C2:E2"/>
    <mergeCell ref="F2:F3"/>
    <mergeCell ref="G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80" zoomScaleNormal="80" workbookViewId="0">
      <pane ySplit="10" topLeftCell="A56" activePane="bottomLeft" state="frozen"/>
      <selection activeCell="P17" sqref="P17"/>
      <selection pane="bottomLeft" activeCell="J65" sqref="J65"/>
    </sheetView>
  </sheetViews>
  <sheetFormatPr defaultRowHeight="15.75" x14ac:dyDescent="0.2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591"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x14ac:dyDescent="0.25">
      <c r="J1" s="125" t="s">
        <v>614</v>
      </c>
    </row>
    <row r="2" spans="1:69" x14ac:dyDescent="0.25">
      <c r="J2" s="125" t="s">
        <v>610</v>
      </c>
    </row>
    <row r="3" spans="1:69" x14ac:dyDescent="0.25">
      <c r="J3" s="125" t="s">
        <v>611</v>
      </c>
    </row>
    <row r="4" spans="1:69" x14ac:dyDescent="0.25">
      <c r="J4" s="125" t="s">
        <v>612</v>
      </c>
    </row>
    <row r="6" spans="1:69" ht="15.75" customHeight="1" x14ac:dyDescent="0.25">
      <c r="A6" s="1210" t="s">
        <v>713</v>
      </c>
      <c r="B6" s="1210"/>
      <c r="C6" s="1210"/>
      <c r="D6" s="1210"/>
      <c r="E6" s="1210"/>
      <c r="F6" s="1210"/>
      <c r="G6" s="1210"/>
      <c r="H6" s="1210"/>
      <c r="I6" s="1210"/>
      <c r="J6" s="1210"/>
      <c r="K6" s="1210"/>
      <c r="L6" s="1210"/>
    </row>
    <row r="8" spans="1:69" s="594" customFormat="1" ht="25.5" customHeight="1" x14ac:dyDescent="0.25">
      <c r="A8" s="1211" t="s">
        <v>26</v>
      </c>
      <c r="B8" s="1212" t="s">
        <v>37</v>
      </c>
      <c r="C8" s="1212" t="s">
        <v>38</v>
      </c>
      <c r="D8" s="1212" t="s">
        <v>39</v>
      </c>
      <c r="E8" s="1213" t="s">
        <v>45</v>
      </c>
      <c r="F8" s="1213"/>
      <c r="G8" s="1213"/>
      <c r="H8" s="1213"/>
      <c r="I8" s="1213" t="s">
        <v>40</v>
      </c>
      <c r="J8" s="1213"/>
      <c r="K8" s="1213"/>
      <c r="L8" s="121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x14ac:dyDescent="0.25">
      <c r="A9" s="1211"/>
      <c r="B9" s="1212"/>
      <c r="C9" s="1212"/>
      <c r="D9" s="1212"/>
      <c r="E9" s="1214" t="s">
        <v>41</v>
      </c>
      <c r="F9" s="1214" t="s">
        <v>42</v>
      </c>
      <c r="G9" s="1214"/>
      <c r="H9" s="1214"/>
      <c r="I9" s="1214" t="s">
        <v>41</v>
      </c>
      <c r="J9" s="1214" t="s">
        <v>42</v>
      </c>
      <c r="K9" s="1214"/>
      <c r="L9" s="1215"/>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x14ac:dyDescent="0.25">
      <c r="A10" s="1211"/>
      <c r="B10" s="1212"/>
      <c r="C10" s="1212"/>
      <c r="D10" s="1212"/>
      <c r="E10" s="1214"/>
      <c r="F10" s="284" t="s">
        <v>44</v>
      </c>
      <c r="G10" s="284" t="s">
        <v>43</v>
      </c>
      <c r="H10" s="284" t="s">
        <v>27</v>
      </c>
      <c r="I10" s="1214"/>
      <c r="J10" s="284" t="s">
        <v>44</v>
      </c>
      <c r="K10" s="595" t="s">
        <v>43</v>
      </c>
      <c r="L10" s="284"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x14ac:dyDescent="0.25">
      <c r="A11" s="584" t="s">
        <v>28</v>
      </c>
      <c r="B11" s="191">
        <v>2</v>
      </c>
      <c r="C11" s="584" t="s">
        <v>103</v>
      </c>
      <c r="D11" s="191">
        <v>4</v>
      </c>
      <c r="E11" s="284" t="s">
        <v>155</v>
      </c>
      <c r="F11" s="327">
        <v>6</v>
      </c>
      <c r="G11" s="596">
        <v>7</v>
      </c>
      <c r="H11" s="327">
        <v>8</v>
      </c>
      <c r="I11" s="596">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x14ac:dyDescent="0.25">
      <c r="A12" s="598" t="s">
        <v>17</v>
      </c>
      <c r="B12" s="599" t="s">
        <v>48</v>
      </c>
      <c r="C12" s="600"/>
      <c r="D12" s="600"/>
      <c r="E12" s="601">
        <f>SUM(F12:H12)</f>
        <v>36348</v>
      </c>
      <c r="F12" s="602">
        <f>F13+F17+F18+F19+F20+F21+F22+F27+F31</f>
        <v>5286.74</v>
      </c>
      <c r="G12" s="602">
        <f>G13+G17+G18+G19+G20+G21+G22+G27+G31</f>
        <v>3467.48</v>
      </c>
      <c r="H12" s="602">
        <f>H13+H17+H18+H19+H20+H21+H22+H27+H31</f>
        <v>27593.780000000002</v>
      </c>
      <c r="I12" s="601">
        <f>SUM(J12:L12)</f>
        <v>18285.402829999999</v>
      </c>
      <c r="J12" s="601">
        <f>J13+J17+J18+J19+J20+J20+J21+J22+J27+J31</f>
        <v>3498.0587399999999</v>
      </c>
      <c r="K12" s="601">
        <f>K13+K17+K18+K19+K20+K20+K21+K22+K27+K31</f>
        <v>900.11669000000006</v>
      </c>
      <c r="L12" s="601">
        <f>L13+L17+L18+L19+L20+L21+L22+L27+L31</f>
        <v>13887.2274</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x14ac:dyDescent="0.25">
      <c r="A13" s="606" t="s">
        <v>46</v>
      </c>
      <c r="B13" s="607" t="s">
        <v>542</v>
      </c>
      <c r="C13" s="608"/>
      <c r="D13" s="608"/>
      <c r="E13" s="609">
        <f t="shared" ref="E13:E80" si="0">SUM(F13:H13)</f>
        <v>23007.980000000003</v>
      </c>
      <c r="F13" s="610">
        <v>0</v>
      </c>
      <c r="G13" s="610">
        <v>0</v>
      </c>
      <c r="H13" s="610">
        <f>SUM(H14:H16)</f>
        <v>23007.980000000003</v>
      </c>
      <c r="I13" s="609">
        <f t="shared" ref="I13:I21" si="1">SUM(J13:L13)</f>
        <v>11136.36238</v>
      </c>
      <c r="J13" s="609">
        <f>SUM(J14:J16)</f>
        <v>0</v>
      </c>
      <c r="K13" s="609">
        <f>SUM(K14:K16)</f>
        <v>0</v>
      </c>
      <c r="L13" s="609">
        <f>SUM(L14:L16)</f>
        <v>11136.36238</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x14ac:dyDescent="0.25">
      <c r="A14" s="613"/>
      <c r="B14" s="614" t="s">
        <v>616</v>
      </c>
      <c r="C14" s="615" t="s">
        <v>34</v>
      </c>
      <c r="D14" s="616" t="s">
        <v>543</v>
      </c>
      <c r="E14" s="617">
        <f t="shared" si="0"/>
        <v>12076.45</v>
      </c>
      <c r="F14" s="618">
        <v>0</v>
      </c>
      <c r="G14" s="618">
        <v>0</v>
      </c>
      <c r="H14" s="618">
        <v>12076.45</v>
      </c>
      <c r="I14" s="617">
        <f t="shared" si="1"/>
        <v>4649.2897300000004</v>
      </c>
      <c r="J14" s="617">
        <v>0</v>
      </c>
      <c r="K14" s="619">
        <v>0</v>
      </c>
      <c r="L14" s="617">
        <v>4649.2897300000004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x14ac:dyDescent="0.25">
      <c r="A15" s="613"/>
      <c r="B15" s="614" t="s">
        <v>617</v>
      </c>
      <c r="C15" s="615" t="s">
        <v>34</v>
      </c>
      <c r="D15" s="616" t="s">
        <v>543</v>
      </c>
      <c r="E15" s="617">
        <f t="shared" si="0"/>
        <v>6662.29</v>
      </c>
      <c r="F15" s="618">
        <v>0</v>
      </c>
      <c r="G15" s="618">
        <v>0</v>
      </c>
      <c r="H15" s="618">
        <v>6662.29</v>
      </c>
      <c r="I15" s="617">
        <f t="shared" si="1"/>
        <v>5467.7753499999999</v>
      </c>
      <c r="J15" s="617">
        <v>0</v>
      </c>
      <c r="K15" s="619">
        <v>0</v>
      </c>
      <c r="L15" s="617">
        <v>5467.7753499999999</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x14ac:dyDescent="0.25">
      <c r="A16" s="613"/>
      <c r="B16" s="622" t="s">
        <v>618</v>
      </c>
      <c r="C16" s="615" t="s">
        <v>34</v>
      </c>
      <c r="D16" s="616" t="s">
        <v>543</v>
      </c>
      <c r="E16" s="617">
        <f t="shared" si="0"/>
        <v>4269.24</v>
      </c>
      <c r="F16" s="618">
        <v>0</v>
      </c>
      <c r="G16" s="618">
        <v>0</v>
      </c>
      <c r="H16" s="618">
        <v>4269.24</v>
      </c>
      <c r="I16" s="617">
        <f t="shared" si="1"/>
        <v>1019.2973</v>
      </c>
      <c r="J16" s="617">
        <v>0</v>
      </c>
      <c r="K16" s="619">
        <v>0</v>
      </c>
      <c r="L16" s="617">
        <v>1019.2973</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x14ac:dyDescent="0.25">
      <c r="A17" s="606" t="s">
        <v>247</v>
      </c>
      <c r="B17" s="623" t="s">
        <v>248</v>
      </c>
      <c r="C17" s="608" t="s">
        <v>51</v>
      </c>
      <c r="D17" s="624" t="s">
        <v>543</v>
      </c>
      <c r="E17" s="609">
        <f t="shared" si="0"/>
        <v>550</v>
      </c>
      <c r="F17" s="610">
        <v>0</v>
      </c>
      <c r="G17" s="610">
        <v>0</v>
      </c>
      <c r="H17" s="625">
        <v>550</v>
      </c>
      <c r="I17" s="609">
        <f t="shared" si="1"/>
        <v>704.00199999999995</v>
      </c>
      <c r="J17" s="609">
        <v>0</v>
      </c>
      <c r="K17" s="626">
        <v>0</v>
      </c>
      <c r="L17" s="609">
        <v>704.00199999999995</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x14ac:dyDescent="0.25">
      <c r="A18" s="606" t="s">
        <v>253</v>
      </c>
      <c r="B18" s="623" t="s">
        <v>547</v>
      </c>
      <c r="C18" s="608" t="s">
        <v>34</v>
      </c>
      <c r="D18" s="624" t="s">
        <v>544</v>
      </c>
      <c r="E18" s="609">
        <f t="shared" si="0"/>
        <v>0</v>
      </c>
      <c r="F18" s="610">
        <v>0</v>
      </c>
      <c r="G18" s="610">
        <v>0</v>
      </c>
      <c r="H18" s="609">
        <v>0</v>
      </c>
      <c r="I18" s="609">
        <f t="shared" si="1"/>
        <v>718.55399999999997</v>
      </c>
      <c r="J18" s="609">
        <v>0</v>
      </c>
      <c r="K18" s="626">
        <v>0</v>
      </c>
      <c r="L18" s="609">
        <v>718.55399999999997</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x14ac:dyDescent="0.25">
      <c r="A19" s="606" t="s">
        <v>546</v>
      </c>
      <c r="B19" s="623" t="s">
        <v>55</v>
      </c>
      <c r="C19" s="608" t="s">
        <v>51</v>
      </c>
      <c r="D19" s="608" t="s">
        <v>543</v>
      </c>
      <c r="E19" s="609">
        <f t="shared" si="0"/>
        <v>1150</v>
      </c>
      <c r="F19" s="610">
        <v>0</v>
      </c>
      <c r="G19" s="610">
        <v>0</v>
      </c>
      <c r="H19" s="609">
        <v>1150</v>
      </c>
      <c r="I19" s="609">
        <f t="shared" si="1"/>
        <v>251.65</v>
      </c>
      <c r="J19" s="609">
        <v>0</v>
      </c>
      <c r="K19" s="626">
        <v>0</v>
      </c>
      <c r="L19" s="609">
        <v>251.65</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x14ac:dyDescent="0.25">
      <c r="A20" s="606" t="s">
        <v>256</v>
      </c>
      <c r="B20" s="623" t="s">
        <v>548</v>
      </c>
      <c r="C20" s="608" t="s">
        <v>545</v>
      </c>
      <c r="D20" s="608" t="s">
        <v>543</v>
      </c>
      <c r="E20" s="610">
        <f t="shared" si="0"/>
        <v>1950.8</v>
      </c>
      <c r="F20" s="610">
        <v>0</v>
      </c>
      <c r="G20" s="610">
        <v>0</v>
      </c>
      <c r="H20" s="609">
        <v>1950.8</v>
      </c>
      <c r="I20" s="609">
        <f t="shared" si="1"/>
        <v>520.22299999999996</v>
      </c>
      <c r="J20" s="609">
        <v>0</v>
      </c>
      <c r="K20" s="626">
        <v>0</v>
      </c>
      <c r="L20" s="609">
        <v>520.22299999999996</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x14ac:dyDescent="0.25">
      <c r="A21" s="606" t="s">
        <v>261</v>
      </c>
      <c r="B21" s="627" t="s">
        <v>57</v>
      </c>
      <c r="C21" s="608" t="s">
        <v>34</v>
      </c>
      <c r="D21" s="624" t="s">
        <v>543</v>
      </c>
      <c r="E21" s="609">
        <f t="shared" si="0"/>
        <v>635</v>
      </c>
      <c r="F21" s="609">
        <v>0</v>
      </c>
      <c r="G21" s="609">
        <v>0</v>
      </c>
      <c r="H21" s="609">
        <v>635</v>
      </c>
      <c r="I21" s="609">
        <f t="shared" si="1"/>
        <v>202.12226000000001</v>
      </c>
      <c r="J21" s="609">
        <v>0</v>
      </c>
      <c r="K21" s="626">
        <v>0</v>
      </c>
      <c r="L21" s="609">
        <v>202.12226000000001</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x14ac:dyDescent="0.25">
      <c r="A22" s="606" t="s">
        <v>265</v>
      </c>
      <c r="B22" s="607" t="s">
        <v>549</v>
      </c>
      <c r="C22" s="628" t="s">
        <v>552</v>
      </c>
      <c r="D22" s="624" t="s">
        <v>550</v>
      </c>
      <c r="E22" s="609">
        <f t="shared" si="0"/>
        <v>3916.19</v>
      </c>
      <c r="F22" s="609">
        <f>SUM(F23:F26)</f>
        <v>2163.29</v>
      </c>
      <c r="G22" s="609">
        <f>SUM(G23:G26)</f>
        <v>1752.9</v>
      </c>
      <c r="H22" s="609">
        <f>SUM(H23:H26)</f>
        <v>0</v>
      </c>
      <c r="I22" s="609">
        <f>SUM(J22:L22)</f>
        <v>2127.8227500000003</v>
      </c>
      <c r="J22" s="609">
        <f>SUM(J23:J26)</f>
        <v>1599.7283</v>
      </c>
      <c r="K22" s="609">
        <f>SUM(K23:K26)</f>
        <v>173.78068999999999</v>
      </c>
      <c r="L22" s="609">
        <f>SUM(L23:L26)</f>
        <v>354.31376</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x14ac:dyDescent="0.25">
      <c r="A23" s="613"/>
      <c r="B23" s="614" t="s">
        <v>678</v>
      </c>
      <c r="C23" s="616" t="s">
        <v>680</v>
      </c>
      <c r="D23" s="616" t="s">
        <v>550</v>
      </c>
      <c r="E23" s="618">
        <f t="shared" si="0"/>
        <v>0</v>
      </c>
      <c r="F23" s="618">
        <v>0</v>
      </c>
      <c r="G23" s="618">
        <v>0</v>
      </c>
      <c r="H23" s="618">
        <v>0</v>
      </c>
      <c r="I23" s="617">
        <f t="shared" ref="I23:I35" si="2">SUM(J23:L23)</f>
        <v>0</v>
      </c>
      <c r="J23" s="617">
        <v>0</v>
      </c>
      <c r="K23" s="619">
        <v>0</v>
      </c>
      <c r="L23" s="617">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x14ac:dyDescent="0.25">
      <c r="A24" s="613"/>
      <c r="B24" s="614" t="s">
        <v>679</v>
      </c>
      <c r="C24" s="629" t="s">
        <v>552</v>
      </c>
      <c r="D24" s="616" t="s">
        <v>550</v>
      </c>
      <c r="E24" s="618">
        <f t="shared" si="0"/>
        <v>292.90000000000003</v>
      </c>
      <c r="F24" s="618">
        <v>0</v>
      </c>
      <c r="G24" s="618">
        <v>292.90000000000003</v>
      </c>
      <c r="H24" s="618">
        <v>0</v>
      </c>
      <c r="I24" s="617">
        <f t="shared" si="2"/>
        <v>173.78068999999999</v>
      </c>
      <c r="J24" s="617">
        <v>0</v>
      </c>
      <c r="K24" s="619">
        <v>173.78068999999999</v>
      </c>
      <c r="L24" s="617">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3.75" x14ac:dyDescent="0.25">
      <c r="A25" s="613"/>
      <c r="B25" s="630" t="s">
        <v>681</v>
      </c>
      <c r="C25" s="616" t="s">
        <v>551</v>
      </c>
      <c r="D25" s="616" t="s">
        <v>550</v>
      </c>
      <c r="E25" s="617">
        <f t="shared" si="0"/>
        <v>0</v>
      </c>
      <c r="F25" s="617">
        <v>0</v>
      </c>
      <c r="G25" s="617">
        <v>0</v>
      </c>
      <c r="H25" s="617">
        <v>0</v>
      </c>
      <c r="I25" s="617">
        <f t="shared" si="2"/>
        <v>0</v>
      </c>
      <c r="J25" s="617">
        <v>0</v>
      </c>
      <c r="K25" s="619">
        <v>0</v>
      </c>
      <c r="L25" s="617">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25.5" x14ac:dyDescent="0.25">
      <c r="A26" s="613"/>
      <c r="B26" s="614" t="s">
        <v>682</v>
      </c>
      <c r="C26" s="629" t="s">
        <v>62</v>
      </c>
      <c r="D26" s="616" t="s">
        <v>543</v>
      </c>
      <c r="E26" s="617">
        <f t="shared" si="0"/>
        <v>3623.29</v>
      </c>
      <c r="F26" s="617">
        <v>2163.29</v>
      </c>
      <c r="G26" s="617">
        <v>1460</v>
      </c>
      <c r="H26" s="617">
        <v>0</v>
      </c>
      <c r="I26" s="617">
        <f t="shared" si="2"/>
        <v>1954.04206</v>
      </c>
      <c r="J26" s="617">
        <v>1599.7283</v>
      </c>
      <c r="K26" s="619">
        <v>0</v>
      </c>
      <c r="L26" s="617">
        <f>44.16512+310.14864</f>
        <v>354.31376</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x14ac:dyDescent="0.25">
      <c r="A27" s="606" t="s">
        <v>427</v>
      </c>
      <c r="B27" s="631" t="s">
        <v>430</v>
      </c>
      <c r="C27" s="632" t="s">
        <v>62</v>
      </c>
      <c r="D27" s="624" t="s">
        <v>543</v>
      </c>
      <c r="E27" s="609">
        <f t="shared" si="0"/>
        <v>4838.03</v>
      </c>
      <c r="F27" s="609">
        <f>SUM(F28:F30)</f>
        <v>3123.45</v>
      </c>
      <c r="G27" s="609">
        <f>SUM(G28:G30)</f>
        <v>1714.58</v>
      </c>
      <c r="H27" s="609">
        <f>SUM(H28:H30)</f>
        <v>0</v>
      </c>
      <c r="I27" s="609">
        <f t="shared" si="2"/>
        <v>2624.66644</v>
      </c>
      <c r="J27" s="609">
        <f>SUM(J28:J30)</f>
        <v>1898.33044</v>
      </c>
      <c r="K27" s="609">
        <f>SUM(K28:K30)</f>
        <v>726.33600000000001</v>
      </c>
      <c r="L27" s="609">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5.5" x14ac:dyDescent="0.25">
      <c r="A28" s="613"/>
      <c r="B28" s="614" t="s">
        <v>619</v>
      </c>
      <c r="C28" s="629" t="s">
        <v>62</v>
      </c>
      <c r="D28" s="616" t="s">
        <v>543</v>
      </c>
      <c r="E28" s="617">
        <f t="shared" si="0"/>
        <v>3108.87</v>
      </c>
      <c r="F28" s="617">
        <v>3108.87</v>
      </c>
      <c r="G28" s="617">
        <v>0</v>
      </c>
      <c r="H28" s="617">
        <v>0</v>
      </c>
      <c r="I28" s="617">
        <f t="shared" si="2"/>
        <v>1894.65201</v>
      </c>
      <c r="J28" s="617">
        <v>1894.65201</v>
      </c>
      <c r="K28" s="619">
        <v>0</v>
      </c>
      <c r="L28" s="617">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1" x14ac:dyDescent="0.25">
      <c r="A29" s="613"/>
      <c r="B29" s="614" t="s">
        <v>620</v>
      </c>
      <c r="C29" s="629" t="s">
        <v>62</v>
      </c>
      <c r="D29" s="616" t="s">
        <v>543</v>
      </c>
      <c r="E29" s="617">
        <f t="shared" si="0"/>
        <v>1714.58</v>
      </c>
      <c r="F29" s="617">
        <v>0</v>
      </c>
      <c r="G29" s="617">
        <v>1714.58</v>
      </c>
      <c r="H29" s="617">
        <v>0</v>
      </c>
      <c r="I29" s="617">
        <f t="shared" si="2"/>
        <v>726.33600000000001</v>
      </c>
      <c r="J29" s="617">
        <v>0</v>
      </c>
      <c r="K29" s="619">
        <v>726.33600000000001</v>
      </c>
      <c r="L29" s="617">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x14ac:dyDescent="0.25">
      <c r="A30" s="613"/>
      <c r="B30" s="614" t="s">
        <v>621</v>
      </c>
      <c r="C30" s="629" t="s">
        <v>62</v>
      </c>
      <c r="D30" s="616" t="s">
        <v>543</v>
      </c>
      <c r="E30" s="617">
        <f t="shared" si="0"/>
        <v>14.58</v>
      </c>
      <c r="F30" s="617">
        <v>14.58</v>
      </c>
      <c r="G30" s="617">
        <v>0</v>
      </c>
      <c r="H30" s="617">
        <v>0</v>
      </c>
      <c r="I30" s="617">
        <f t="shared" si="2"/>
        <v>3.6784300000000001</v>
      </c>
      <c r="J30" s="617">
        <v>3.6784300000000001</v>
      </c>
      <c r="K30" s="619">
        <v>0</v>
      </c>
      <c r="L30" s="617">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x14ac:dyDescent="0.25">
      <c r="A31" s="606" t="s">
        <v>283</v>
      </c>
      <c r="B31" s="631" t="s">
        <v>432</v>
      </c>
      <c r="C31" s="608" t="s">
        <v>585</v>
      </c>
      <c r="D31" s="608" t="s">
        <v>543</v>
      </c>
      <c r="E31" s="609">
        <f t="shared" si="0"/>
        <v>300</v>
      </c>
      <c r="F31" s="609">
        <v>0</v>
      </c>
      <c r="G31" s="609">
        <v>0</v>
      </c>
      <c r="H31" s="625">
        <v>300</v>
      </c>
      <c r="I31" s="609">
        <f t="shared" si="2"/>
        <v>0</v>
      </c>
      <c r="J31" s="609">
        <v>0</v>
      </c>
      <c r="K31" s="626">
        <v>0</v>
      </c>
      <c r="L31" s="609">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x14ac:dyDescent="0.25">
      <c r="A32" s="598" t="s">
        <v>78</v>
      </c>
      <c r="B32" s="633" t="s">
        <v>77</v>
      </c>
      <c r="C32" s="600"/>
      <c r="D32" s="633"/>
      <c r="E32" s="601">
        <f t="shared" si="0"/>
        <v>7242.68</v>
      </c>
      <c r="F32" s="601">
        <f>F33+F34+F35+F39+F40</f>
        <v>0</v>
      </c>
      <c r="G32" s="601">
        <f>G33+G34+G35+G39+G40</f>
        <v>6080.38</v>
      </c>
      <c r="H32" s="601">
        <f>H33+H34+H35+H39+H40</f>
        <v>1162.3</v>
      </c>
      <c r="I32" s="601">
        <f t="shared" si="2"/>
        <v>3957.0510199999999</v>
      </c>
      <c r="J32" s="601">
        <f>SUM(J33+J34+J35+J39+J40)</f>
        <v>0.80296000000000001</v>
      </c>
      <c r="K32" s="601">
        <f>SUM(K33+K34+K35+K39+K40)</f>
        <v>0</v>
      </c>
      <c r="L32" s="601">
        <f>SUM(L33+L34+L35+L39+L40)</f>
        <v>3956.2480599999999</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x14ac:dyDescent="0.25">
      <c r="A33" s="606" t="s">
        <v>296</v>
      </c>
      <c r="B33" s="631" t="s">
        <v>433</v>
      </c>
      <c r="C33" s="608" t="s">
        <v>553</v>
      </c>
      <c r="D33" s="608" t="s">
        <v>543</v>
      </c>
      <c r="E33" s="609">
        <f t="shared" si="0"/>
        <v>6080.38</v>
      </c>
      <c r="F33" s="609">
        <v>0</v>
      </c>
      <c r="G33" s="625">
        <v>6080.38</v>
      </c>
      <c r="H33" s="609">
        <v>0</v>
      </c>
      <c r="I33" s="609">
        <f t="shared" si="2"/>
        <v>765.78710000000001</v>
      </c>
      <c r="J33" s="609">
        <v>0</v>
      </c>
      <c r="K33" s="626">
        <v>0</v>
      </c>
      <c r="L33" s="609">
        <v>765.78710000000001</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x14ac:dyDescent="0.25">
      <c r="A34" s="606" t="s">
        <v>297</v>
      </c>
      <c r="B34" s="631" t="s">
        <v>554</v>
      </c>
      <c r="C34" s="608" t="s">
        <v>62</v>
      </c>
      <c r="D34" s="608" t="s">
        <v>543</v>
      </c>
      <c r="E34" s="609">
        <f t="shared" si="0"/>
        <v>0</v>
      </c>
      <c r="F34" s="609">
        <v>0</v>
      </c>
      <c r="G34" s="609">
        <v>0</v>
      </c>
      <c r="H34" s="609">
        <v>0</v>
      </c>
      <c r="I34" s="609">
        <f t="shared" si="2"/>
        <v>0</v>
      </c>
      <c r="J34" s="609">
        <v>0</v>
      </c>
      <c r="K34" s="626">
        <v>0</v>
      </c>
      <c r="L34" s="609">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x14ac:dyDescent="0.25">
      <c r="A35" s="606" t="s">
        <v>298</v>
      </c>
      <c r="B35" s="635" t="s">
        <v>446</v>
      </c>
      <c r="C35" s="608" t="s">
        <v>555</v>
      </c>
      <c r="D35" s="624" t="s">
        <v>543</v>
      </c>
      <c r="E35" s="609">
        <f t="shared" si="0"/>
        <v>1111.3</v>
      </c>
      <c r="F35" s="609">
        <f>SUM(F36:F38)</f>
        <v>0</v>
      </c>
      <c r="G35" s="609">
        <f>SUM(G36:G38)</f>
        <v>0</v>
      </c>
      <c r="H35" s="609">
        <f>SUM(H36:H38)</f>
        <v>1111.3</v>
      </c>
      <c r="I35" s="609">
        <f t="shared" si="2"/>
        <v>3190.4609599999999</v>
      </c>
      <c r="J35" s="609">
        <f>SUM(J36:J38)</f>
        <v>0</v>
      </c>
      <c r="K35" s="609">
        <f>SUM(K36:K38)</f>
        <v>0</v>
      </c>
      <c r="L35" s="609">
        <f>SUM(L36:L38)</f>
        <v>3190.4609599999999</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x14ac:dyDescent="0.25">
      <c r="A36" s="613"/>
      <c r="B36" s="622" t="s">
        <v>622</v>
      </c>
      <c r="C36" s="615" t="s">
        <v>51</v>
      </c>
      <c r="D36" s="616" t="s">
        <v>543</v>
      </c>
      <c r="E36" s="617">
        <f t="shared" si="0"/>
        <v>672</v>
      </c>
      <c r="F36" s="617">
        <v>0</v>
      </c>
      <c r="G36" s="617">
        <v>0</v>
      </c>
      <c r="H36" s="617">
        <v>672</v>
      </c>
      <c r="I36" s="617">
        <f t="shared" ref="I36:I73" si="3">SUM(J36:L36)</f>
        <v>2964.6439599999999</v>
      </c>
      <c r="J36" s="617">
        <v>0</v>
      </c>
      <c r="K36" s="619">
        <v>0</v>
      </c>
      <c r="L36" s="617">
        <v>2964.6439599999999</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x14ac:dyDescent="0.25">
      <c r="A37" s="613"/>
      <c r="B37" s="636" t="s">
        <v>623</v>
      </c>
      <c r="C37" s="616" t="s">
        <v>555</v>
      </c>
      <c r="D37" s="616" t="s">
        <v>543</v>
      </c>
      <c r="E37" s="617">
        <f t="shared" si="0"/>
        <v>136.9</v>
      </c>
      <c r="F37" s="617">
        <v>0</v>
      </c>
      <c r="G37" s="617">
        <v>0</v>
      </c>
      <c r="H37" s="637">
        <v>136.9</v>
      </c>
      <c r="I37" s="617">
        <f t="shared" si="3"/>
        <v>0</v>
      </c>
      <c r="J37" s="617">
        <v>0</v>
      </c>
      <c r="K37" s="619">
        <v>0</v>
      </c>
      <c r="L37" s="617">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x14ac:dyDescent="0.25">
      <c r="A38" s="613"/>
      <c r="B38" s="622" t="s">
        <v>624</v>
      </c>
      <c r="C38" s="616" t="s">
        <v>51</v>
      </c>
      <c r="D38" s="616" t="s">
        <v>543</v>
      </c>
      <c r="E38" s="617">
        <f t="shared" si="0"/>
        <v>302.39999999999998</v>
      </c>
      <c r="F38" s="617">
        <v>0</v>
      </c>
      <c r="G38" s="617">
        <v>0</v>
      </c>
      <c r="H38" s="637">
        <v>302.39999999999998</v>
      </c>
      <c r="I38" s="617">
        <f t="shared" si="3"/>
        <v>225.81700000000001</v>
      </c>
      <c r="J38" s="617">
        <v>0</v>
      </c>
      <c r="K38" s="619">
        <v>0</v>
      </c>
      <c r="L38" s="617">
        <v>225.81700000000001</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x14ac:dyDescent="0.25">
      <c r="A39" s="606" t="s">
        <v>299</v>
      </c>
      <c r="B39" s="607" t="s">
        <v>556</v>
      </c>
      <c r="C39" s="624" t="s">
        <v>62</v>
      </c>
      <c r="D39" s="624" t="s">
        <v>543</v>
      </c>
      <c r="E39" s="609">
        <f t="shared" si="0"/>
        <v>0</v>
      </c>
      <c r="F39" s="609">
        <v>0</v>
      </c>
      <c r="G39" s="609">
        <v>0</v>
      </c>
      <c r="H39" s="609">
        <v>0</v>
      </c>
      <c r="I39" s="609">
        <f t="shared" si="3"/>
        <v>0.80296000000000001</v>
      </c>
      <c r="J39" s="609">
        <v>0.80296000000000001</v>
      </c>
      <c r="K39" s="626">
        <v>0</v>
      </c>
      <c r="L39" s="609">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x14ac:dyDescent="0.25">
      <c r="A40" s="638" t="s">
        <v>306</v>
      </c>
      <c r="B40" s="639" t="s">
        <v>557</v>
      </c>
      <c r="C40" s="608" t="s">
        <v>555</v>
      </c>
      <c r="D40" s="624" t="s">
        <v>543</v>
      </c>
      <c r="E40" s="625">
        <f>SUM(F40:H40)</f>
        <v>51</v>
      </c>
      <c r="F40" s="625">
        <f>F41+F42</f>
        <v>0</v>
      </c>
      <c r="G40" s="625">
        <f>G41+G42</f>
        <v>0</v>
      </c>
      <c r="H40" s="625">
        <f>H41+H42</f>
        <v>51</v>
      </c>
      <c r="I40" s="609">
        <f t="shared" si="3"/>
        <v>0</v>
      </c>
      <c r="J40" s="625">
        <f>SUM(J41:J42)</f>
        <v>0</v>
      </c>
      <c r="K40" s="625">
        <v>0</v>
      </c>
      <c r="L40" s="625">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x14ac:dyDescent="0.2">
      <c r="A41" s="613"/>
      <c r="B41" s="622" t="s">
        <v>625</v>
      </c>
      <c r="C41" s="615" t="s">
        <v>59</v>
      </c>
      <c r="D41" s="615" t="s">
        <v>543</v>
      </c>
      <c r="E41" s="617">
        <f t="shared" si="0"/>
        <v>0</v>
      </c>
      <c r="F41" s="617">
        <v>0</v>
      </c>
      <c r="G41" s="617"/>
      <c r="H41" s="617">
        <v>0</v>
      </c>
      <c r="I41" s="617">
        <f t="shared" si="3"/>
        <v>0</v>
      </c>
      <c r="J41" s="617">
        <v>0</v>
      </c>
      <c r="K41" s="619">
        <v>0</v>
      </c>
      <c r="L41" s="617">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x14ac:dyDescent="0.25">
      <c r="A42" s="613"/>
      <c r="B42" s="622" t="s">
        <v>626</v>
      </c>
      <c r="C42" s="615" t="s">
        <v>558</v>
      </c>
      <c r="D42" s="615" t="s">
        <v>543</v>
      </c>
      <c r="E42" s="617">
        <f t="shared" si="0"/>
        <v>51</v>
      </c>
      <c r="F42" s="617">
        <v>0</v>
      </c>
      <c r="G42" s="617">
        <v>0</v>
      </c>
      <c r="H42" s="617">
        <v>51</v>
      </c>
      <c r="I42" s="617">
        <f t="shared" si="3"/>
        <v>0</v>
      </c>
      <c r="J42" s="617">
        <v>0</v>
      </c>
      <c r="K42" s="619">
        <v>0</v>
      </c>
      <c r="L42" s="617">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x14ac:dyDescent="0.25">
      <c r="A43" s="642" t="s">
        <v>559</v>
      </c>
      <c r="B43" s="643" t="s">
        <v>561</v>
      </c>
      <c r="C43" s="644"/>
      <c r="D43" s="644"/>
      <c r="E43" s="601">
        <f t="shared" si="0"/>
        <v>22323.351310000002</v>
      </c>
      <c r="F43" s="601">
        <f>F44+F50+F51+F57+F63</f>
        <v>830.95</v>
      </c>
      <c r="G43" s="601">
        <f>G44+G50+G51+G57+G63</f>
        <v>8354.9013100000011</v>
      </c>
      <c r="H43" s="601">
        <f>H44+H50+H51+H57+H63</f>
        <v>13137.5</v>
      </c>
      <c r="I43" s="645">
        <f t="shared" si="3"/>
        <v>2610.63805</v>
      </c>
      <c r="J43" s="645">
        <f>J44+J50+J51+J57+J63</f>
        <v>374.51979</v>
      </c>
      <c r="K43" s="645">
        <f>K44+K50+K51+K57+K63</f>
        <v>127.613</v>
      </c>
      <c r="L43" s="645">
        <f>L44+L50+L51+L57+L63</f>
        <v>2108.5052599999999</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x14ac:dyDescent="0.25">
      <c r="A44" s="606" t="s">
        <v>562</v>
      </c>
      <c r="B44" s="607" t="s">
        <v>455</v>
      </c>
      <c r="C44" s="608" t="s">
        <v>59</v>
      </c>
      <c r="D44" s="608" t="s">
        <v>543</v>
      </c>
      <c r="E44" s="609">
        <f t="shared" si="0"/>
        <v>14609.7448</v>
      </c>
      <c r="F44" s="609">
        <f>SUM(F45:F49)</f>
        <v>830.95</v>
      </c>
      <c r="G44" s="609">
        <f>SUM(G45:G49)</f>
        <v>878.79480000000001</v>
      </c>
      <c r="H44" s="609">
        <f>SUM(H45:H49)</f>
        <v>12900</v>
      </c>
      <c r="I44" s="609">
        <f t="shared" si="3"/>
        <v>1714.7230199999999</v>
      </c>
      <c r="J44" s="609">
        <f>SUM(J45:J49)</f>
        <v>322.15672000000001</v>
      </c>
      <c r="K44" s="609">
        <f>SUM(K45:K49)</f>
        <v>0</v>
      </c>
      <c r="L44" s="609">
        <f>SUM(L45:L49)</f>
        <v>1392.5663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x14ac:dyDescent="0.25">
      <c r="A45" s="613"/>
      <c r="B45" s="646" t="s">
        <v>627</v>
      </c>
      <c r="C45" s="614" t="s">
        <v>59</v>
      </c>
      <c r="D45" s="615" t="s">
        <v>543</v>
      </c>
      <c r="E45" s="617">
        <f t="shared" si="0"/>
        <v>1709.7447999999999</v>
      </c>
      <c r="F45" s="617">
        <v>830.95</v>
      </c>
      <c r="G45" s="617">
        <v>878.79480000000001</v>
      </c>
      <c r="H45" s="617">
        <v>0</v>
      </c>
      <c r="I45" s="617">
        <f t="shared" si="3"/>
        <v>322.15672000000001</v>
      </c>
      <c r="J45" s="617">
        <v>322.15672000000001</v>
      </c>
      <c r="K45" s="619">
        <v>0</v>
      </c>
      <c r="L45" s="617">
        <v>0</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x14ac:dyDescent="0.25">
      <c r="A46" s="545"/>
      <c r="B46" s="646" t="s">
        <v>628</v>
      </c>
      <c r="C46" s="614" t="s">
        <v>59</v>
      </c>
      <c r="D46" s="615" t="s">
        <v>543</v>
      </c>
      <c r="E46" s="617">
        <f t="shared" si="0"/>
        <v>0</v>
      </c>
      <c r="F46" s="617">
        <v>0</v>
      </c>
      <c r="G46" s="617">
        <v>0</v>
      </c>
      <c r="H46" s="617">
        <v>0</v>
      </c>
      <c r="I46" s="617">
        <f t="shared" si="3"/>
        <v>0</v>
      </c>
      <c r="J46" s="617">
        <v>0</v>
      </c>
      <c r="K46" s="619">
        <v>0</v>
      </c>
      <c r="L46" s="617">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x14ac:dyDescent="0.25">
      <c r="A47" s="584"/>
      <c r="B47" s="646" t="s">
        <v>629</v>
      </c>
      <c r="C47" s="614" t="s">
        <v>59</v>
      </c>
      <c r="D47" s="615" t="s">
        <v>543</v>
      </c>
      <c r="E47" s="617">
        <f t="shared" si="0"/>
        <v>0</v>
      </c>
      <c r="F47" s="617">
        <v>0</v>
      </c>
      <c r="G47" s="617">
        <v>0</v>
      </c>
      <c r="H47" s="617">
        <v>0</v>
      </c>
      <c r="I47" s="617">
        <f t="shared" si="3"/>
        <v>0</v>
      </c>
      <c r="J47" s="617">
        <v>0</v>
      </c>
      <c r="K47" s="619">
        <v>0</v>
      </c>
      <c r="L47" s="617">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x14ac:dyDescent="0.25">
      <c r="A48" s="584"/>
      <c r="B48" s="646" t="s">
        <v>630</v>
      </c>
      <c r="C48" s="647" t="s">
        <v>560</v>
      </c>
      <c r="D48" s="615" t="s">
        <v>543</v>
      </c>
      <c r="E48" s="617">
        <f t="shared" si="0"/>
        <v>12900</v>
      </c>
      <c r="F48" s="617">
        <v>0</v>
      </c>
      <c r="G48" s="617">
        <v>0</v>
      </c>
      <c r="H48" s="617">
        <v>12900</v>
      </c>
      <c r="I48" s="617">
        <f t="shared" si="3"/>
        <v>1392.5663</v>
      </c>
      <c r="J48" s="617">
        <v>0</v>
      </c>
      <c r="K48" s="619">
        <v>0</v>
      </c>
      <c r="L48" s="617">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x14ac:dyDescent="0.25">
      <c r="A49" s="584"/>
      <c r="B49" s="646" t="s">
        <v>631</v>
      </c>
      <c r="C49" s="647" t="s">
        <v>62</v>
      </c>
      <c r="D49" s="615" t="s">
        <v>543</v>
      </c>
      <c r="E49" s="617">
        <f t="shared" si="0"/>
        <v>0</v>
      </c>
      <c r="F49" s="617">
        <v>0</v>
      </c>
      <c r="G49" s="617">
        <v>0</v>
      </c>
      <c r="H49" s="617">
        <v>0</v>
      </c>
      <c r="I49" s="617">
        <f t="shared" si="3"/>
        <v>0</v>
      </c>
      <c r="J49" s="617">
        <v>0</v>
      </c>
      <c r="K49" s="619">
        <v>0</v>
      </c>
      <c r="L49" s="617">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4.75" customHeight="1" x14ac:dyDescent="0.25">
      <c r="A50" s="606" t="s">
        <v>329</v>
      </c>
      <c r="B50" s="635" t="s">
        <v>478</v>
      </c>
      <c r="C50" s="608" t="s">
        <v>62</v>
      </c>
      <c r="D50" s="624" t="s">
        <v>543</v>
      </c>
      <c r="E50" s="609">
        <f t="shared" si="0"/>
        <v>1046.93</v>
      </c>
      <c r="F50" s="609">
        <v>0</v>
      </c>
      <c r="G50" s="648">
        <v>1046.93</v>
      </c>
      <c r="H50" s="609">
        <v>0</v>
      </c>
      <c r="I50" s="609">
        <f t="shared" si="3"/>
        <v>217.70162999999999</v>
      </c>
      <c r="J50" s="609">
        <v>0</v>
      </c>
      <c r="K50" s="626">
        <v>0</v>
      </c>
      <c r="L50" s="609">
        <f>217.70163</f>
        <v>217.70162999999999</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x14ac:dyDescent="0.25">
      <c r="A51" s="606" t="s">
        <v>333</v>
      </c>
      <c r="B51" s="607" t="s">
        <v>563</v>
      </c>
      <c r="C51" s="608" t="s">
        <v>62</v>
      </c>
      <c r="D51" s="624" t="s">
        <v>543</v>
      </c>
      <c r="E51" s="609">
        <f t="shared" ref="E51:E57" si="4">SUM(F51:H51)</f>
        <v>1980.00251</v>
      </c>
      <c r="F51" s="609">
        <f>SUM(F52:F56)</f>
        <v>0</v>
      </c>
      <c r="G51" s="609">
        <f>G52+G53+G54+G55+G56</f>
        <v>1980.00251</v>
      </c>
      <c r="H51" s="609">
        <f>SUM(H52:H56)</f>
        <v>0</v>
      </c>
      <c r="I51" s="609">
        <f t="shared" si="3"/>
        <v>483.81493</v>
      </c>
      <c r="J51" s="609">
        <f>SUM(J52:J56)</f>
        <v>52.36307</v>
      </c>
      <c r="K51" s="609">
        <f>SUM(K52:K56)</f>
        <v>127.613</v>
      </c>
      <c r="L51" s="609">
        <f>SUM(L52:L56)</f>
        <v>303.83886000000001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x14ac:dyDescent="0.25">
      <c r="A52" s="584"/>
      <c r="B52" s="650" t="s">
        <v>632</v>
      </c>
      <c r="C52" s="647" t="s">
        <v>62</v>
      </c>
      <c r="D52" s="615" t="s">
        <v>543</v>
      </c>
      <c r="E52" s="617">
        <f t="shared" si="4"/>
        <v>44.554000000000002</v>
      </c>
      <c r="F52" s="617">
        <v>0</v>
      </c>
      <c r="G52" s="618">
        <v>44.554000000000002</v>
      </c>
      <c r="H52" s="617">
        <v>0</v>
      </c>
      <c r="I52" s="617">
        <f t="shared" si="3"/>
        <v>178.76979</v>
      </c>
      <c r="J52" s="617">
        <v>52.36307</v>
      </c>
      <c r="K52" s="619">
        <v>26.265000000000001</v>
      </c>
      <c r="L52" s="617">
        <v>100.14172000000001</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x14ac:dyDescent="0.25">
      <c r="A53" s="584"/>
      <c r="B53" s="650" t="s">
        <v>633</v>
      </c>
      <c r="C53" s="647" t="s">
        <v>62</v>
      </c>
      <c r="D53" s="615" t="s">
        <v>543</v>
      </c>
      <c r="E53" s="617">
        <f t="shared" si="4"/>
        <v>22.925000000000001</v>
      </c>
      <c r="F53" s="617">
        <v>0</v>
      </c>
      <c r="G53" s="618">
        <v>22.925000000000001</v>
      </c>
      <c r="H53" s="617">
        <v>0</v>
      </c>
      <c r="I53" s="617">
        <f t="shared" si="3"/>
        <v>62.026719999999997</v>
      </c>
      <c r="J53" s="617">
        <v>0</v>
      </c>
      <c r="K53" s="619">
        <v>13.132</v>
      </c>
      <c r="L53" s="617">
        <v>48.89472</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x14ac:dyDescent="0.25">
      <c r="A54" s="584"/>
      <c r="B54" s="650" t="s">
        <v>634</v>
      </c>
      <c r="C54" s="647" t="s">
        <v>62</v>
      </c>
      <c r="D54" s="615" t="s">
        <v>543</v>
      </c>
      <c r="E54" s="617">
        <f t="shared" si="4"/>
        <v>380.48101000000003</v>
      </c>
      <c r="F54" s="617">
        <v>0</v>
      </c>
      <c r="G54" s="652">
        <v>380.48101000000003</v>
      </c>
      <c r="H54" s="617">
        <v>0</v>
      </c>
      <c r="I54" s="617">
        <f t="shared" si="3"/>
        <v>0</v>
      </c>
      <c r="J54" s="617">
        <v>0</v>
      </c>
      <c r="K54" s="619">
        <v>0</v>
      </c>
      <c r="L54" s="617">
        <v>0</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x14ac:dyDescent="0.25">
      <c r="A55" s="613"/>
      <c r="B55" s="650" t="s">
        <v>635</v>
      </c>
      <c r="C55" s="647" t="s">
        <v>62</v>
      </c>
      <c r="D55" s="615" t="s">
        <v>543</v>
      </c>
      <c r="E55" s="617">
        <f t="shared" si="4"/>
        <v>1301.6424999999999</v>
      </c>
      <c r="F55" s="617">
        <v>0</v>
      </c>
      <c r="G55" s="652">
        <v>1301.6424999999999</v>
      </c>
      <c r="H55" s="617">
        <v>0</v>
      </c>
      <c r="I55" s="617">
        <f t="shared" si="3"/>
        <v>0</v>
      </c>
      <c r="J55" s="617">
        <v>0</v>
      </c>
      <c r="K55" s="619">
        <v>0</v>
      </c>
      <c r="L55" s="617">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x14ac:dyDescent="0.25">
      <c r="A56" s="613"/>
      <c r="B56" s="650" t="s">
        <v>636</v>
      </c>
      <c r="C56" s="647" t="s">
        <v>62</v>
      </c>
      <c r="D56" s="615" t="s">
        <v>543</v>
      </c>
      <c r="E56" s="617">
        <f t="shared" si="4"/>
        <v>230.4</v>
      </c>
      <c r="F56" s="617">
        <v>0</v>
      </c>
      <c r="G56" s="652">
        <v>230.4</v>
      </c>
      <c r="H56" s="617">
        <v>0</v>
      </c>
      <c r="I56" s="617">
        <f t="shared" si="3"/>
        <v>243.01841999999999</v>
      </c>
      <c r="J56" s="617">
        <v>0</v>
      </c>
      <c r="K56" s="619">
        <v>88.215999999999994</v>
      </c>
      <c r="L56" s="617">
        <v>154.80242000000001</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x14ac:dyDescent="0.25">
      <c r="A57" s="606" t="s">
        <v>339</v>
      </c>
      <c r="B57" s="607" t="s">
        <v>604</v>
      </c>
      <c r="C57" s="608" t="s">
        <v>62</v>
      </c>
      <c r="D57" s="608" t="s">
        <v>543</v>
      </c>
      <c r="E57" s="609">
        <f t="shared" si="4"/>
        <v>4449.174</v>
      </c>
      <c r="F57" s="609">
        <f>SUM(F58:F62)</f>
        <v>0</v>
      </c>
      <c r="G57" s="609">
        <f>SUM(G58:G62)</f>
        <v>4449.174</v>
      </c>
      <c r="H57" s="609">
        <f>SUM(H58:H62)</f>
        <v>0</v>
      </c>
      <c r="I57" s="609">
        <f t="shared" si="3"/>
        <v>194.39847</v>
      </c>
      <c r="J57" s="609">
        <f>SUM(J58:J62)</f>
        <v>0</v>
      </c>
      <c r="K57" s="609">
        <f>SUM(K58:K62)</f>
        <v>0</v>
      </c>
      <c r="L57" s="609">
        <f>SUM(L58:L62)</f>
        <v>194.39847</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x14ac:dyDescent="0.25">
      <c r="A58" s="613"/>
      <c r="B58" s="622" t="s">
        <v>637</v>
      </c>
      <c r="C58" s="647" t="s">
        <v>62</v>
      </c>
      <c r="D58" s="615" t="s">
        <v>543</v>
      </c>
      <c r="E58" s="618">
        <f t="shared" si="0"/>
        <v>360</v>
      </c>
      <c r="F58" s="618">
        <v>0</v>
      </c>
      <c r="G58" s="618">
        <v>360</v>
      </c>
      <c r="H58" s="618">
        <v>0</v>
      </c>
      <c r="I58" s="617">
        <f t="shared" si="3"/>
        <v>3.47485</v>
      </c>
      <c r="J58" s="617">
        <v>0</v>
      </c>
      <c r="K58" s="619">
        <v>0</v>
      </c>
      <c r="L58" s="617">
        <v>3.47485</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x14ac:dyDescent="0.25">
      <c r="A59" s="613"/>
      <c r="B59" s="646" t="s">
        <v>638</v>
      </c>
      <c r="C59" s="647" t="s">
        <v>62</v>
      </c>
      <c r="D59" s="615" t="s">
        <v>543</v>
      </c>
      <c r="E59" s="618">
        <f t="shared" si="0"/>
        <v>648</v>
      </c>
      <c r="F59" s="618">
        <v>0</v>
      </c>
      <c r="G59" s="618">
        <v>648</v>
      </c>
      <c r="H59" s="618">
        <v>0</v>
      </c>
      <c r="I59" s="617">
        <f t="shared" si="3"/>
        <v>0</v>
      </c>
      <c r="J59" s="617">
        <v>0</v>
      </c>
      <c r="K59" s="619">
        <v>0</v>
      </c>
      <c r="L59" s="617">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x14ac:dyDescent="0.25">
      <c r="A60" s="613"/>
      <c r="B60" s="646" t="s">
        <v>639</v>
      </c>
      <c r="C60" s="647" t="s">
        <v>62</v>
      </c>
      <c r="D60" s="615" t="s">
        <v>543</v>
      </c>
      <c r="E60" s="618">
        <f t="shared" si="0"/>
        <v>60.75</v>
      </c>
      <c r="F60" s="618">
        <v>0</v>
      </c>
      <c r="G60" s="652">
        <v>60.75</v>
      </c>
      <c r="H60" s="618">
        <v>0</v>
      </c>
      <c r="I60" s="617">
        <f t="shared" si="3"/>
        <v>0</v>
      </c>
      <c r="J60" s="617">
        <v>0</v>
      </c>
      <c r="K60" s="619">
        <v>0</v>
      </c>
      <c r="L60" s="617">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x14ac:dyDescent="0.25">
      <c r="A61" s="584"/>
      <c r="B61" s="646" t="s">
        <v>640</v>
      </c>
      <c r="C61" s="647" t="s">
        <v>62</v>
      </c>
      <c r="D61" s="615" t="s">
        <v>543</v>
      </c>
      <c r="E61" s="618">
        <f t="shared" si="0"/>
        <v>72</v>
      </c>
      <c r="F61" s="618">
        <v>0</v>
      </c>
      <c r="G61" s="618">
        <v>72</v>
      </c>
      <c r="H61" s="618">
        <v>0</v>
      </c>
      <c r="I61" s="617">
        <f t="shared" si="3"/>
        <v>0</v>
      </c>
      <c r="J61" s="617">
        <v>0</v>
      </c>
      <c r="K61" s="619">
        <v>0</v>
      </c>
      <c r="L61" s="617">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x14ac:dyDescent="0.25">
      <c r="A62" s="584"/>
      <c r="B62" s="646" t="s">
        <v>641</v>
      </c>
      <c r="C62" s="647" t="s">
        <v>62</v>
      </c>
      <c r="D62" s="615" t="s">
        <v>543</v>
      </c>
      <c r="E62" s="618">
        <f t="shared" si="0"/>
        <v>3308.424</v>
      </c>
      <c r="F62" s="618">
        <v>0</v>
      </c>
      <c r="G62" s="652">
        <v>3308.424</v>
      </c>
      <c r="H62" s="618">
        <v>0</v>
      </c>
      <c r="I62" s="617">
        <f t="shared" si="3"/>
        <v>190.92362</v>
      </c>
      <c r="J62" s="617">
        <v>0</v>
      </c>
      <c r="K62" s="619">
        <v>0</v>
      </c>
      <c r="L62" s="617">
        <v>190.92362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x14ac:dyDescent="0.25">
      <c r="A63" s="606" t="s">
        <v>343</v>
      </c>
      <c r="B63" s="607" t="s">
        <v>495</v>
      </c>
      <c r="C63" s="608" t="s">
        <v>62</v>
      </c>
      <c r="D63" s="608" t="s">
        <v>543</v>
      </c>
      <c r="E63" s="609">
        <f t="shared" si="0"/>
        <v>237.5</v>
      </c>
      <c r="F63" s="609">
        <v>0</v>
      </c>
      <c r="G63" s="609">
        <v>0</v>
      </c>
      <c r="H63" s="648">
        <v>237.5</v>
      </c>
      <c r="I63" s="609">
        <f t="shared" si="3"/>
        <v>0</v>
      </c>
      <c r="J63" s="609">
        <v>0</v>
      </c>
      <c r="K63" s="626">
        <v>0</v>
      </c>
      <c r="L63" s="609">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x14ac:dyDescent="0.25">
      <c r="A64" s="598" t="s">
        <v>132</v>
      </c>
      <c r="B64" s="599" t="s">
        <v>131</v>
      </c>
      <c r="C64" s="599"/>
      <c r="D64" s="599"/>
      <c r="E64" s="601">
        <f t="shared" si="0"/>
        <v>196694.41999999998</v>
      </c>
      <c r="F64" s="601">
        <f>SUM(F65+F69+F72+F73)</f>
        <v>66489.42</v>
      </c>
      <c r="G64" s="601">
        <f>SUM(G65+G69+G72+G73)</f>
        <v>1000</v>
      </c>
      <c r="H64" s="601">
        <f>SUM(H65+H69+H72+H73)</f>
        <v>129205</v>
      </c>
      <c r="I64" s="601">
        <f t="shared" si="3"/>
        <v>31515.1155</v>
      </c>
      <c r="J64" s="601">
        <f>J65+J69+J72+J73</f>
        <v>17096.38118</v>
      </c>
      <c r="K64" s="601">
        <f>K65+K69+K72+K73</f>
        <v>0</v>
      </c>
      <c r="L64" s="601">
        <f>L65+L69+L72+L73</f>
        <v>14418.73432</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x14ac:dyDescent="0.25">
      <c r="A65" s="606" t="s">
        <v>570</v>
      </c>
      <c r="B65" s="607" t="s">
        <v>571</v>
      </c>
      <c r="C65" s="608" t="s">
        <v>62</v>
      </c>
      <c r="D65" s="608" t="s">
        <v>543</v>
      </c>
      <c r="E65" s="609">
        <f t="shared" si="0"/>
        <v>188433.41999999998</v>
      </c>
      <c r="F65" s="609">
        <f>SUM(F66:F68)</f>
        <v>66489.42</v>
      </c>
      <c r="G65" s="609">
        <f>SUM(G66:G68)</f>
        <v>0</v>
      </c>
      <c r="H65" s="609">
        <f>SUM(H66:H68)</f>
        <v>121944</v>
      </c>
      <c r="I65" s="609">
        <f t="shared" si="3"/>
        <v>29571.5975</v>
      </c>
      <c r="J65" s="609">
        <v>17096.38118</v>
      </c>
      <c r="K65" s="609">
        <f>SUM(K66:K68)</f>
        <v>0</v>
      </c>
      <c r="L65" s="609">
        <f>SUM(L66:L68)</f>
        <v>12475.21632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x14ac:dyDescent="0.25">
      <c r="A66" s="653"/>
      <c r="B66" s="646" t="s">
        <v>642</v>
      </c>
      <c r="C66" s="647" t="s">
        <v>62</v>
      </c>
      <c r="D66" s="647" t="s">
        <v>543</v>
      </c>
      <c r="E66" s="654">
        <f t="shared" si="0"/>
        <v>188433.41999999998</v>
      </c>
      <c r="F66" s="654">
        <v>66489.42</v>
      </c>
      <c r="G66" s="655">
        <v>0</v>
      </c>
      <c r="H66" s="654">
        <v>121944</v>
      </c>
      <c r="I66" s="654">
        <f t="shared" si="3"/>
        <v>25590.62009</v>
      </c>
      <c r="J66" s="654">
        <v>13115.403770000001</v>
      </c>
      <c r="K66" s="656">
        <v>0</v>
      </c>
      <c r="L66" s="654">
        <v>12475.21632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x14ac:dyDescent="0.25">
      <c r="A67" s="653"/>
      <c r="B67" s="646" t="s">
        <v>643</v>
      </c>
      <c r="C67" s="647" t="s">
        <v>62</v>
      </c>
      <c r="D67" s="647" t="s">
        <v>543</v>
      </c>
      <c r="E67" s="654">
        <f t="shared" si="0"/>
        <v>0</v>
      </c>
      <c r="F67" s="654">
        <v>0</v>
      </c>
      <c r="G67" s="654">
        <v>0</v>
      </c>
      <c r="H67" s="654">
        <v>0</v>
      </c>
      <c r="I67" s="654">
        <f t="shared" si="3"/>
        <v>0</v>
      </c>
      <c r="J67" s="654">
        <v>0</v>
      </c>
      <c r="K67" s="656">
        <v>0</v>
      </c>
      <c r="L67" s="654">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x14ac:dyDescent="0.25">
      <c r="A68" s="653"/>
      <c r="B68" s="646" t="s">
        <v>644</v>
      </c>
      <c r="C68" s="647" t="s">
        <v>62</v>
      </c>
      <c r="D68" s="647" t="s">
        <v>543</v>
      </c>
      <c r="E68" s="654">
        <f t="shared" si="0"/>
        <v>0</v>
      </c>
      <c r="F68" s="654">
        <v>0</v>
      </c>
      <c r="G68" s="654">
        <v>0</v>
      </c>
      <c r="H68" s="654">
        <v>0</v>
      </c>
      <c r="I68" s="654">
        <f t="shared" si="3"/>
        <v>0</v>
      </c>
      <c r="J68" s="654">
        <v>0</v>
      </c>
      <c r="K68" s="656">
        <v>0</v>
      </c>
      <c r="L68" s="654">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x14ac:dyDescent="0.25">
      <c r="A69" s="606" t="s">
        <v>586</v>
      </c>
      <c r="B69" s="607" t="s">
        <v>587</v>
      </c>
      <c r="C69" s="608" t="s">
        <v>62</v>
      </c>
      <c r="D69" s="608" t="s">
        <v>550</v>
      </c>
      <c r="E69" s="609">
        <f>SUM(F69:H69)</f>
        <v>1000</v>
      </c>
      <c r="F69" s="609">
        <f>SUM(F70:F71)</f>
        <v>0</v>
      </c>
      <c r="G69" s="609">
        <f>SUM(G70:G71)</f>
        <v>1000</v>
      </c>
      <c r="H69" s="609">
        <f>SUM(H70:H71)</f>
        <v>0</v>
      </c>
      <c r="I69" s="609">
        <f t="shared" si="3"/>
        <v>0</v>
      </c>
      <c r="J69" s="609">
        <f>SUM(J70:J71)</f>
        <v>0</v>
      </c>
      <c r="K69" s="609">
        <f>SUM(K70:K71)</f>
        <v>0</v>
      </c>
      <c r="L69" s="609">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x14ac:dyDescent="0.25">
      <c r="A70" s="653"/>
      <c r="B70" s="646" t="s">
        <v>645</v>
      </c>
      <c r="C70" s="647" t="s">
        <v>62</v>
      </c>
      <c r="D70" s="647" t="s">
        <v>550</v>
      </c>
      <c r="E70" s="654">
        <f>SUM(F70:H70)</f>
        <v>700</v>
      </c>
      <c r="F70" s="654">
        <v>0</v>
      </c>
      <c r="G70" s="654">
        <v>700</v>
      </c>
      <c r="H70" s="654">
        <v>0</v>
      </c>
      <c r="I70" s="654">
        <f t="shared" si="3"/>
        <v>0</v>
      </c>
      <c r="J70" s="654">
        <v>0</v>
      </c>
      <c r="K70" s="656">
        <v>0</v>
      </c>
      <c r="L70" s="654">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x14ac:dyDescent="0.25">
      <c r="A71" s="653"/>
      <c r="B71" s="646" t="s">
        <v>646</v>
      </c>
      <c r="C71" s="647" t="s">
        <v>62</v>
      </c>
      <c r="D71" s="647" t="s">
        <v>550</v>
      </c>
      <c r="E71" s="654">
        <f>SUM(F71:H71)</f>
        <v>300</v>
      </c>
      <c r="F71" s="654">
        <v>0</v>
      </c>
      <c r="G71" s="654">
        <v>300</v>
      </c>
      <c r="H71" s="654">
        <v>0</v>
      </c>
      <c r="I71" s="654">
        <f t="shared" si="3"/>
        <v>0</v>
      </c>
      <c r="J71" s="654">
        <v>0</v>
      </c>
      <c r="K71" s="656">
        <v>0</v>
      </c>
      <c r="L71" s="654">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x14ac:dyDescent="0.25">
      <c r="A72" s="606" t="s">
        <v>367</v>
      </c>
      <c r="B72" s="607" t="s">
        <v>572</v>
      </c>
      <c r="C72" s="608" t="s">
        <v>62</v>
      </c>
      <c r="D72" s="608" t="s">
        <v>543</v>
      </c>
      <c r="E72" s="609">
        <f t="shared" si="0"/>
        <v>420</v>
      </c>
      <c r="F72" s="609">
        <v>0</v>
      </c>
      <c r="G72" s="609">
        <v>0</v>
      </c>
      <c r="H72" s="609">
        <v>420</v>
      </c>
      <c r="I72" s="609">
        <f t="shared" si="3"/>
        <v>0</v>
      </c>
      <c r="J72" s="609">
        <v>0</v>
      </c>
      <c r="K72" s="626">
        <v>0</v>
      </c>
      <c r="L72" s="609">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x14ac:dyDescent="0.25">
      <c r="A73" s="606" t="s">
        <v>514</v>
      </c>
      <c r="B73" s="607" t="s">
        <v>573</v>
      </c>
      <c r="C73" s="608" t="s">
        <v>599</v>
      </c>
      <c r="D73" s="608" t="s">
        <v>543</v>
      </c>
      <c r="E73" s="609">
        <f t="shared" si="0"/>
        <v>6841</v>
      </c>
      <c r="F73" s="609">
        <v>0</v>
      </c>
      <c r="G73" s="609">
        <v>0</v>
      </c>
      <c r="H73" s="609">
        <v>6841</v>
      </c>
      <c r="I73" s="609">
        <f t="shared" si="3"/>
        <v>1943.518</v>
      </c>
      <c r="J73" s="609">
        <v>0</v>
      </c>
      <c r="K73" s="626">
        <v>0</v>
      </c>
      <c r="L73" s="609">
        <v>1943.518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x14ac:dyDescent="0.25">
      <c r="A74" s="598" t="s">
        <v>379</v>
      </c>
      <c r="B74" s="599" t="s">
        <v>574</v>
      </c>
      <c r="C74" s="600"/>
      <c r="D74" s="600"/>
      <c r="E74" s="601">
        <f>SUM(F74:H74)</f>
        <v>59240.05</v>
      </c>
      <c r="F74" s="601">
        <f>F75+F81+F82</f>
        <v>29969.599999999999</v>
      </c>
      <c r="G74" s="601">
        <f>G75+G81+G82</f>
        <v>28982.45</v>
      </c>
      <c r="H74" s="601">
        <f>H75+H81+H82</f>
        <v>288</v>
      </c>
      <c r="I74" s="601">
        <f t="shared" ref="I74:I82" si="5">SUM(J74:L74)</f>
        <v>15680.312330000001</v>
      </c>
      <c r="J74" s="601">
        <f>J75+J81+J82</f>
        <v>10377.44067</v>
      </c>
      <c r="K74" s="601">
        <f>K75+K81+K82</f>
        <v>0</v>
      </c>
      <c r="L74" s="601">
        <f>L75+L81+L82</f>
        <v>5302.8716599999998</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7.75" customHeight="1" x14ac:dyDescent="0.25">
      <c r="A75" s="606" t="s">
        <v>380</v>
      </c>
      <c r="B75" s="607" t="s">
        <v>598</v>
      </c>
      <c r="C75" s="608" t="s">
        <v>62</v>
      </c>
      <c r="D75" s="608" t="s">
        <v>543</v>
      </c>
      <c r="E75" s="609">
        <f t="shared" si="0"/>
        <v>58952.05</v>
      </c>
      <c r="F75" s="625">
        <f>SUM(F76:F80)</f>
        <v>29969.599999999999</v>
      </c>
      <c r="G75" s="625">
        <f>SUM(G76:G80)</f>
        <v>28982.45</v>
      </c>
      <c r="H75" s="625">
        <f>SUM(H76:H80)</f>
        <v>0</v>
      </c>
      <c r="I75" s="609">
        <f t="shared" si="5"/>
        <v>14057.326150000001</v>
      </c>
      <c r="J75" s="609">
        <f>SUM(J76:J80)</f>
        <v>10377.44067</v>
      </c>
      <c r="K75" s="609">
        <f>SUM(K76:K80)</f>
        <v>0</v>
      </c>
      <c r="L75" s="609">
        <f>SUM(L76:L80)</f>
        <v>3679.8854799999999</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29.25" customHeight="1" x14ac:dyDescent="0.25">
      <c r="A76" s="613"/>
      <c r="B76" s="622" t="s">
        <v>647</v>
      </c>
      <c r="C76" s="615" t="s">
        <v>62</v>
      </c>
      <c r="D76" s="615" t="s">
        <v>543</v>
      </c>
      <c r="E76" s="617">
        <f t="shared" si="0"/>
        <v>46871.24</v>
      </c>
      <c r="F76" s="617">
        <v>29969.599999999999</v>
      </c>
      <c r="G76" s="619">
        <v>16901.64</v>
      </c>
      <c r="H76" s="617">
        <v>0</v>
      </c>
      <c r="I76" s="617">
        <f t="shared" si="5"/>
        <v>8663.411970000001</v>
      </c>
      <c r="J76" s="617">
        <v>5956.5819700000002</v>
      </c>
      <c r="K76" s="619">
        <v>0</v>
      </c>
      <c r="L76" s="617">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19.5" customHeight="1" x14ac:dyDescent="0.25">
      <c r="A77" s="613"/>
      <c r="B77" s="622" t="s">
        <v>648</v>
      </c>
      <c r="C77" s="615" t="s">
        <v>62</v>
      </c>
      <c r="D77" s="615" t="s">
        <v>543</v>
      </c>
      <c r="E77" s="617">
        <f t="shared" si="0"/>
        <v>9453.86</v>
      </c>
      <c r="F77" s="617">
        <v>0</v>
      </c>
      <c r="G77" s="619">
        <v>9453.86</v>
      </c>
      <c r="H77" s="617">
        <v>0</v>
      </c>
      <c r="I77" s="617">
        <f t="shared" si="5"/>
        <v>4420.8586999999998</v>
      </c>
      <c r="J77" s="617">
        <v>4420.8586999999998</v>
      </c>
      <c r="K77" s="619">
        <v>0</v>
      </c>
      <c r="L77" s="617">
        <v>0</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18.75" customHeight="1" x14ac:dyDescent="0.25">
      <c r="A78" s="613"/>
      <c r="B78" s="622" t="s">
        <v>649</v>
      </c>
      <c r="C78" s="615" t="s">
        <v>62</v>
      </c>
      <c r="D78" s="615" t="s">
        <v>543</v>
      </c>
      <c r="E78" s="617">
        <f t="shared" si="0"/>
        <v>591.92999999999995</v>
      </c>
      <c r="F78" s="617">
        <v>0</v>
      </c>
      <c r="G78" s="619">
        <v>591.92999999999995</v>
      </c>
      <c r="H78" s="617">
        <v>0</v>
      </c>
      <c r="I78" s="617">
        <f t="shared" si="5"/>
        <v>0</v>
      </c>
      <c r="J78" s="617">
        <v>0</v>
      </c>
      <c r="K78" s="619">
        <v>0</v>
      </c>
      <c r="L78" s="617">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1" customHeight="1" x14ac:dyDescent="0.25">
      <c r="A79" s="613"/>
      <c r="B79" s="622" t="s">
        <v>650</v>
      </c>
      <c r="C79" s="615" t="s">
        <v>62</v>
      </c>
      <c r="D79" s="615" t="s">
        <v>543</v>
      </c>
      <c r="E79" s="617">
        <f t="shared" si="0"/>
        <v>1415.64</v>
      </c>
      <c r="F79" s="617">
        <v>0</v>
      </c>
      <c r="G79" s="619">
        <v>1415.64</v>
      </c>
      <c r="H79" s="617">
        <v>0</v>
      </c>
      <c r="I79" s="617">
        <f t="shared" si="5"/>
        <v>106.84196000000001</v>
      </c>
      <c r="J79" s="617">
        <v>0</v>
      </c>
      <c r="K79" s="619">
        <v>0</v>
      </c>
      <c r="L79" s="617">
        <f>65.98797+7.44611+3.98873+29.41915</f>
        <v>106.84196000000001</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4.5" customHeight="1" x14ac:dyDescent="0.25">
      <c r="A80" s="613"/>
      <c r="B80" s="622" t="s">
        <v>651</v>
      </c>
      <c r="C80" s="615" t="s">
        <v>62</v>
      </c>
      <c r="D80" s="615" t="s">
        <v>543</v>
      </c>
      <c r="E80" s="617">
        <f t="shared" si="0"/>
        <v>619.38</v>
      </c>
      <c r="F80" s="617">
        <v>0</v>
      </c>
      <c r="G80" s="619">
        <v>619.38</v>
      </c>
      <c r="H80" s="617">
        <v>0</v>
      </c>
      <c r="I80" s="617">
        <f t="shared" si="5"/>
        <v>866.21352000000002</v>
      </c>
      <c r="J80" s="617">
        <v>0</v>
      </c>
      <c r="K80" s="619">
        <v>0</v>
      </c>
      <c r="L80" s="617">
        <v>866.21352000000002</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4" customHeight="1" x14ac:dyDescent="0.25">
      <c r="A81" s="606" t="s">
        <v>576</v>
      </c>
      <c r="B81" s="607" t="s">
        <v>577</v>
      </c>
      <c r="C81" s="608" t="s">
        <v>575</v>
      </c>
      <c r="D81" s="608" t="s">
        <v>543</v>
      </c>
      <c r="E81" s="609">
        <f>SUM(F81:H81)</f>
        <v>0</v>
      </c>
      <c r="F81" s="609">
        <v>0</v>
      </c>
      <c r="G81" s="609">
        <v>0</v>
      </c>
      <c r="H81" s="625">
        <v>0</v>
      </c>
      <c r="I81" s="609">
        <f t="shared" si="5"/>
        <v>1622.9861800000001</v>
      </c>
      <c r="J81" s="609">
        <v>0</v>
      </c>
      <c r="K81" s="626">
        <v>0</v>
      </c>
      <c r="L81" s="609">
        <v>1622.9861800000001</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x14ac:dyDescent="0.25">
      <c r="A82" s="606" t="s">
        <v>384</v>
      </c>
      <c r="B82" s="607" t="s">
        <v>578</v>
      </c>
      <c r="C82" s="608" t="s">
        <v>62</v>
      </c>
      <c r="D82" s="608" t="s">
        <v>543</v>
      </c>
      <c r="E82" s="609">
        <f>SUM(F82:H82)</f>
        <v>288</v>
      </c>
      <c r="F82" s="609">
        <v>0</v>
      </c>
      <c r="G82" s="609">
        <v>0</v>
      </c>
      <c r="H82" s="625">
        <v>288</v>
      </c>
      <c r="I82" s="609">
        <f t="shared" si="5"/>
        <v>0</v>
      </c>
      <c r="J82" s="609">
        <v>0</v>
      </c>
      <c r="K82" s="626">
        <v>0</v>
      </c>
      <c r="L82" s="607">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x14ac:dyDescent="0.25">
      <c r="A83" s="1216" t="s">
        <v>7</v>
      </c>
      <c r="B83" s="1216"/>
      <c r="C83" s="1216"/>
      <c r="D83" s="1216"/>
      <c r="E83" s="661">
        <f>SUM(F83:H83)</f>
        <v>321848.50131000002</v>
      </c>
      <c r="F83" s="662">
        <f>F12+F32+F43+F64+F74</f>
        <v>102576.70999999999</v>
      </c>
      <c r="G83" s="662">
        <f>G12+G32+G43+G64+G74</f>
        <v>47885.211309999999</v>
      </c>
      <c r="H83" s="662">
        <f>H12+H32+H43+H64+H74</f>
        <v>171386.58000000002</v>
      </c>
      <c r="I83" s="663">
        <f>SUM(J83:L83)</f>
        <v>72048.51973</v>
      </c>
      <c r="J83" s="663">
        <f>J12+J32+J43+J64+J74</f>
        <v>31347.20334</v>
      </c>
      <c r="K83" s="663">
        <f>K12+K32+K43+K64+K74</f>
        <v>1027.7296900000001</v>
      </c>
      <c r="L83" s="663">
        <f>L12+L32+L43+L64+L74</f>
        <v>39673.586699999993</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x14ac:dyDescent="0.25">
      <c r="A84" s="589"/>
      <c r="G84" s="664"/>
      <c r="L84" s="665"/>
    </row>
    <row r="85" spans="1:69" s="666" customFormat="1" ht="18.75" x14ac:dyDescent="0.3">
      <c r="B85" s="667" t="s">
        <v>406</v>
      </c>
      <c r="C85" s="668" t="s">
        <v>407</v>
      </c>
      <c r="H85" s="669"/>
      <c r="I85" s="670"/>
      <c r="J85" s="670"/>
      <c r="K85" s="670"/>
      <c r="L85" s="670"/>
      <c r="M85" s="670"/>
      <c r="N85" s="670"/>
      <c r="O85" s="670"/>
      <c r="P85" s="670"/>
      <c r="Q85" s="670"/>
      <c r="R85" s="670"/>
      <c r="S85" s="670"/>
      <c r="T85" s="670"/>
      <c r="U85" s="670"/>
      <c r="V85" s="670"/>
      <c r="W85" s="670"/>
      <c r="X85" s="670"/>
    </row>
    <row r="86" spans="1:69" s="666" customFormat="1" ht="29.25" customHeight="1" x14ac:dyDescent="0.3">
      <c r="B86" s="667"/>
      <c r="C86" s="668"/>
      <c r="H86" s="669"/>
      <c r="I86" s="670"/>
      <c r="J86" s="670"/>
      <c r="K86" s="670"/>
      <c r="L86" s="670"/>
      <c r="M86" s="670"/>
      <c r="N86" s="670"/>
      <c r="O86" s="670"/>
      <c r="P86" s="670"/>
      <c r="Q86" s="670"/>
      <c r="R86" s="670"/>
      <c r="S86" s="670"/>
      <c r="T86" s="670"/>
      <c r="U86" s="670"/>
      <c r="V86" s="670"/>
      <c r="W86" s="670"/>
      <c r="X86" s="670"/>
    </row>
    <row r="87" spans="1:69" s="671" customFormat="1" ht="16.5" customHeight="1" x14ac:dyDescent="0.25">
      <c r="B87" s="672" t="s">
        <v>683</v>
      </c>
      <c r="C87" s="673"/>
      <c r="H87" s="319"/>
      <c r="I87" s="265"/>
      <c r="J87" s="265"/>
      <c r="K87" s="265"/>
      <c r="L87" s="265"/>
      <c r="M87" s="265"/>
      <c r="N87" s="265"/>
      <c r="O87" s="265"/>
      <c r="P87" s="265"/>
      <c r="Q87" s="265"/>
      <c r="R87" s="265"/>
      <c r="S87" s="265"/>
      <c r="T87" s="265"/>
      <c r="U87" s="265"/>
      <c r="V87" s="265"/>
      <c r="W87" s="265"/>
      <c r="X87" s="265"/>
    </row>
    <row r="88" spans="1:69" s="125" customFormat="1" ht="16.5" customHeight="1" x14ac:dyDescent="0.25">
      <c r="B88" s="237"/>
      <c r="C88" s="238"/>
      <c r="H88" s="319"/>
      <c r="I88" s="124"/>
      <c r="J88" s="124"/>
      <c r="K88" s="124"/>
      <c r="L88" s="124"/>
      <c r="M88" s="124"/>
      <c r="N88" s="124"/>
      <c r="O88" s="124"/>
      <c r="P88" s="124"/>
      <c r="Q88" s="124"/>
      <c r="R88" s="124"/>
      <c r="S88" s="124"/>
      <c r="T88" s="124"/>
      <c r="U88" s="124"/>
      <c r="V88" s="124"/>
      <c r="W88" s="124"/>
      <c r="X88" s="124"/>
    </row>
    <row r="89" spans="1:69" x14ac:dyDescent="0.25">
      <c r="A89" s="589"/>
      <c r="L89" s="665"/>
    </row>
    <row r="90" spans="1:69" x14ac:dyDescent="0.25">
      <c r="A90" s="674" t="s">
        <v>8</v>
      </c>
      <c r="B90" s="675"/>
      <c r="C90" s="676"/>
      <c r="D90" s="676"/>
      <c r="E90" s="677"/>
      <c r="F90" s="678"/>
      <c r="G90" s="679"/>
      <c r="H90" s="679"/>
      <c r="I90" s="680"/>
      <c r="J90" s="680"/>
      <c r="L90" s="665"/>
    </row>
    <row r="91" spans="1:69" x14ac:dyDescent="0.25">
      <c r="A91" s="681"/>
      <c r="B91" s="682"/>
      <c r="C91" s="582"/>
      <c r="D91" s="582"/>
      <c r="E91" s="677"/>
      <c r="F91" s="678"/>
      <c r="G91" s="679"/>
      <c r="H91" s="679"/>
      <c r="I91" s="679"/>
      <c r="J91" s="679" t="s">
        <v>9</v>
      </c>
      <c r="L91" s="665"/>
    </row>
    <row r="92" spans="1:69" x14ac:dyDescent="0.25">
      <c r="A92" s="681"/>
      <c r="B92" s="1204" t="s">
        <v>10</v>
      </c>
      <c r="C92" s="1205"/>
      <c r="D92" s="1206"/>
      <c r="E92" s="1207" t="s">
        <v>11</v>
      </c>
      <c r="F92" s="1208"/>
      <c r="G92" s="1209"/>
      <c r="H92" s="1207" t="s">
        <v>12</v>
      </c>
      <c r="I92" s="1208"/>
      <c r="J92" s="1209"/>
    </row>
    <row r="93" spans="1:69" ht="31.5" x14ac:dyDescent="0.25">
      <c r="A93" s="681"/>
      <c r="B93" s="194" t="s">
        <v>13</v>
      </c>
      <c r="C93" s="194" t="s">
        <v>14</v>
      </c>
      <c r="D93" s="194" t="s">
        <v>15</v>
      </c>
      <c r="E93" s="683" t="s">
        <v>13</v>
      </c>
      <c r="F93" s="683" t="s">
        <v>14</v>
      </c>
      <c r="G93" s="683" t="s">
        <v>15</v>
      </c>
      <c r="H93" s="683" t="s">
        <v>13</v>
      </c>
      <c r="I93" s="683" t="s">
        <v>14</v>
      </c>
      <c r="J93" s="683" t="s">
        <v>15</v>
      </c>
    </row>
    <row r="94" spans="1:69" x14ac:dyDescent="0.25">
      <c r="A94" s="684"/>
      <c r="B94" s="685">
        <f>SUM(C94:D94)</f>
        <v>321848.50131000002</v>
      </c>
      <c r="C94" s="685">
        <f>G83</f>
        <v>47885.211309999999</v>
      </c>
      <c r="D94" s="686">
        <f>H83+F83</f>
        <v>273963.29000000004</v>
      </c>
      <c r="E94" s="687">
        <f>SUM(F94:G94)</f>
        <v>72048.51973</v>
      </c>
      <c r="F94" s="687">
        <f>K83</f>
        <v>1027.7296900000001</v>
      </c>
      <c r="G94" s="687">
        <f>J83+L83</f>
        <v>71020.790039999993</v>
      </c>
      <c r="H94" s="662">
        <f>B94-E94</f>
        <v>249799.98158000002</v>
      </c>
      <c r="I94" s="688">
        <f>F94-C94</f>
        <v>-46857.481619999999</v>
      </c>
      <c r="J94" s="688">
        <f>G94-D94</f>
        <v>-202942.49996000004</v>
      </c>
    </row>
    <row r="95" spans="1:69" x14ac:dyDescent="0.25">
      <c r="A95" s="589"/>
      <c r="C95" s="689"/>
    </row>
    <row r="96" spans="1:69" x14ac:dyDescent="0.25">
      <c r="A96" s="589"/>
    </row>
    <row r="97" spans="1:24" s="666" customFormat="1" ht="18.75" x14ac:dyDescent="0.3">
      <c r="B97" s="667" t="s">
        <v>406</v>
      </c>
      <c r="C97" s="668" t="s">
        <v>407</v>
      </c>
      <c r="H97" s="669"/>
      <c r="I97" s="670"/>
      <c r="J97" s="670"/>
      <c r="K97" s="670"/>
      <c r="L97" s="670"/>
      <c r="M97" s="670"/>
      <c r="N97" s="670"/>
      <c r="O97" s="670"/>
      <c r="P97" s="670"/>
      <c r="Q97" s="670"/>
      <c r="R97" s="670"/>
      <c r="S97" s="670"/>
      <c r="T97" s="670"/>
      <c r="U97" s="670"/>
      <c r="V97" s="670"/>
      <c r="W97" s="670"/>
      <c r="X97" s="670"/>
    </row>
    <row r="98" spans="1:24" s="666" customFormat="1" ht="29.25" customHeight="1" x14ac:dyDescent="0.3">
      <c r="B98" s="667"/>
      <c r="C98" s="668"/>
      <c r="H98" s="669"/>
      <c r="I98" s="670"/>
      <c r="J98" s="670"/>
      <c r="K98" s="670"/>
      <c r="L98" s="670"/>
      <c r="M98" s="670"/>
      <c r="N98" s="670"/>
      <c r="O98" s="670"/>
      <c r="P98" s="670"/>
      <c r="Q98" s="670"/>
      <c r="R98" s="670"/>
      <c r="S98" s="670"/>
      <c r="T98" s="670"/>
      <c r="U98" s="670"/>
      <c r="V98" s="670"/>
      <c r="W98" s="670"/>
      <c r="X98" s="670"/>
    </row>
    <row r="99" spans="1:24" s="671" customFormat="1" ht="16.5" customHeight="1" x14ac:dyDescent="0.25">
      <c r="B99" s="672" t="s">
        <v>683</v>
      </c>
      <c r="C99" s="673"/>
      <c r="H99" s="319"/>
      <c r="I99" s="265"/>
      <c r="J99" s="265"/>
      <c r="K99" s="265"/>
      <c r="L99" s="265"/>
      <c r="M99" s="265"/>
      <c r="N99" s="265"/>
      <c r="O99" s="265"/>
      <c r="P99" s="265"/>
      <c r="Q99" s="265"/>
      <c r="R99" s="265"/>
      <c r="S99" s="265"/>
      <c r="T99" s="265"/>
      <c r="U99" s="265"/>
      <c r="V99" s="265"/>
      <c r="W99" s="265"/>
      <c r="X99" s="265"/>
    </row>
    <row r="100" spans="1:24" x14ac:dyDescent="0.25">
      <c r="A100" s="589"/>
    </row>
    <row r="101" spans="1:24" x14ac:dyDescent="0.25">
      <c r="A101" s="589"/>
    </row>
    <row r="102" spans="1:24" x14ac:dyDescent="0.25">
      <c r="A102" s="589"/>
    </row>
    <row r="103" spans="1:24" x14ac:dyDescent="0.25">
      <c r="A103" s="589"/>
    </row>
    <row r="104" spans="1:24" x14ac:dyDescent="0.25">
      <c r="A104" s="589"/>
    </row>
    <row r="105" spans="1:24" x14ac:dyDescent="0.25">
      <c r="A105" s="589"/>
    </row>
    <row r="106" spans="1:24" x14ac:dyDescent="0.25">
      <c r="A106" s="589"/>
    </row>
    <row r="107" spans="1:24" x14ac:dyDescent="0.25">
      <c r="A107" s="589"/>
    </row>
    <row r="108" spans="1:24" x14ac:dyDescent="0.25">
      <c r="A108" s="589"/>
    </row>
    <row r="109" spans="1:24" x14ac:dyDescent="0.25">
      <c r="A109" s="589"/>
    </row>
    <row r="110" spans="1:24" x14ac:dyDescent="0.25">
      <c r="A110" s="589"/>
    </row>
    <row r="111" spans="1:24" x14ac:dyDescent="0.25">
      <c r="A111" s="589"/>
    </row>
    <row r="112" spans="1:24" x14ac:dyDescent="0.25">
      <c r="A112" s="589"/>
    </row>
    <row r="113" spans="1:1" x14ac:dyDescent="0.25">
      <c r="A113" s="589"/>
    </row>
    <row r="114" spans="1:1" x14ac:dyDescent="0.25">
      <c r="A114" s="589"/>
    </row>
    <row r="115" spans="1:1" x14ac:dyDescent="0.25">
      <c r="A115" s="589"/>
    </row>
    <row r="116" spans="1:1" x14ac:dyDescent="0.25">
      <c r="A116" s="589"/>
    </row>
    <row r="117" spans="1:1" x14ac:dyDescent="0.25">
      <c r="A117" s="589"/>
    </row>
    <row r="118" spans="1:1" x14ac:dyDescent="0.25">
      <c r="A118" s="589"/>
    </row>
    <row r="119" spans="1:1" x14ac:dyDescent="0.25">
      <c r="A119" s="589"/>
    </row>
    <row r="120" spans="1:1" x14ac:dyDescent="0.25">
      <c r="A120" s="589"/>
    </row>
    <row r="121" spans="1:1" x14ac:dyDescent="0.25">
      <c r="A121" s="589"/>
    </row>
    <row r="122" spans="1:1" x14ac:dyDescent="0.25">
      <c r="A122" s="589"/>
    </row>
    <row r="123" spans="1:1" x14ac:dyDescent="0.25">
      <c r="A123" s="589"/>
    </row>
    <row r="124" spans="1:1" x14ac:dyDescent="0.25">
      <c r="A124" s="589"/>
    </row>
    <row r="125" spans="1:1" x14ac:dyDescent="0.25">
      <c r="A125" s="589"/>
    </row>
    <row r="126" spans="1:1" x14ac:dyDescent="0.25">
      <c r="A126" s="589"/>
    </row>
    <row r="127" spans="1:1" x14ac:dyDescent="0.25">
      <c r="A127" s="589"/>
    </row>
    <row r="128" spans="1:1" x14ac:dyDescent="0.25">
      <c r="A128" s="589"/>
    </row>
    <row r="129" spans="1:1" x14ac:dyDescent="0.25">
      <c r="A129" s="589"/>
    </row>
    <row r="130" spans="1:1" x14ac:dyDescent="0.25">
      <c r="A130" s="589"/>
    </row>
    <row r="131" spans="1:1" x14ac:dyDescent="0.25">
      <c r="A131" s="589"/>
    </row>
    <row r="132" spans="1:1" x14ac:dyDescent="0.25">
      <c r="A132" s="589"/>
    </row>
    <row r="133" spans="1:1" x14ac:dyDescent="0.25">
      <c r="A133" s="589"/>
    </row>
    <row r="134" spans="1:1" x14ac:dyDescent="0.25">
      <c r="A134" s="589"/>
    </row>
    <row r="135" spans="1:1" x14ac:dyDescent="0.25">
      <c r="A135" s="589"/>
    </row>
    <row r="136" spans="1:1" x14ac:dyDescent="0.25">
      <c r="A136" s="589"/>
    </row>
    <row r="137" spans="1:1" x14ac:dyDescent="0.25">
      <c r="A137" s="589"/>
    </row>
    <row r="138" spans="1:1" x14ac:dyDescent="0.25">
      <c r="A138" s="589"/>
    </row>
    <row r="139" spans="1:1" x14ac:dyDescent="0.25">
      <c r="A139" s="589"/>
    </row>
    <row r="140" spans="1:1" x14ac:dyDescent="0.25">
      <c r="A140" s="589"/>
    </row>
    <row r="141" spans="1:1" x14ac:dyDescent="0.25">
      <c r="A141" s="589"/>
    </row>
    <row r="142" spans="1:1" x14ac:dyDescent="0.25">
      <c r="A142" s="589"/>
    </row>
    <row r="143" spans="1:1" x14ac:dyDescent="0.25">
      <c r="A143" s="589"/>
    </row>
    <row r="144" spans="1:1" x14ac:dyDescent="0.25">
      <c r="A144" s="589"/>
    </row>
    <row r="145" spans="1:1" x14ac:dyDescent="0.25">
      <c r="A145" s="589"/>
    </row>
    <row r="146" spans="1:1" x14ac:dyDescent="0.25">
      <c r="A146" s="589"/>
    </row>
    <row r="147" spans="1:1" x14ac:dyDescent="0.25">
      <c r="A147" s="589"/>
    </row>
    <row r="148" spans="1:1" x14ac:dyDescent="0.25">
      <c r="A148" s="589"/>
    </row>
    <row r="149" spans="1:1" x14ac:dyDescent="0.25">
      <c r="A149" s="589"/>
    </row>
    <row r="150" spans="1:1" x14ac:dyDescent="0.25">
      <c r="A150" s="589"/>
    </row>
    <row r="151" spans="1:1" x14ac:dyDescent="0.25">
      <c r="A151" s="589"/>
    </row>
    <row r="152" spans="1:1" x14ac:dyDescent="0.25">
      <c r="A152" s="589"/>
    </row>
    <row r="153" spans="1:1" x14ac:dyDescent="0.25">
      <c r="A153" s="589"/>
    </row>
    <row r="154" spans="1:1" x14ac:dyDescent="0.25">
      <c r="A154" s="589"/>
    </row>
    <row r="155" spans="1:1" x14ac:dyDescent="0.25">
      <c r="A155" s="589"/>
    </row>
    <row r="156" spans="1:1" x14ac:dyDescent="0.25">
      <c r="A156" s="589"/>
    </row>
    <row r="157" spans="1:1" x14ac:dyDescent="0.25">
      <c r="A157" s="589"/>
    </row>
    <row r="158" spans="1:1" x14ac:dyDescent="0.25">
      <c r="A158" s="589"/>
    </row>
    <row r="159" spans="1:1" x14ac:dyDescent="0.25">
      <c r="A159" s="589"/>
    </row>
    <row r="160" spans="1:1" x14ac:dyDescent="0.25">
      <c r="A160" s="589"/>
    </row>
    <row r="161" spans="1:1" x14ac:dyDescent="0.25">
      <c r="A161" s="589"/>
    </row>
    <row r="162" spans="1:1" x14ac:dyDescent="0.25">
      <c r="A162" s="589"/>
    </row>
    <row r="163" spans="1:1" x14ac:dyDescent="0.25">
      <c r="A163" s="589"/>
    </row>
    <row r="164" spans="1:1" x14ac:dyDescent="0.25">
      <c r="A164" s="589"/>
    </row>
    <row r="165" spans="1:1" x14ac:dyDescent="0.25">
      <c r="A165" s="589"/>
    </row>
    <row r="166" spans="1:1" x14ac:dyDescent="0.25">
      <c r="A166" s="589"/>
    </row>
    <row r="167" spans="1:1" x14ac:dyDescent="0.25">
      <c r="A167" s="589"/>
    </row>
    <row r="168" spans="1:1" x14ac:dyDescent="0.25">
      <c r="A168" s="589"/>
    </row>
    <row r="169" spans="1:1" x14ac:dyDescent="0.25">
      <c r="A169" s="589"/>
    </row>
    <row r="170" spans="1:1" x14ac:dyDescent="0.25">
      <c r="A170" s="589"/>
    </row>
    <row r="171" spans="1:1" x14ac:dyDescent="0.25">
      <c r="A171" s="589"/>
    </row>
    <row r="172" spans="1:1" x14ac:dyDescent="0.25">
      <c r="A172" s="589"/>
    </row>
    <row r="173" spans="1:1" x14ac:dyDescent="0.25">
      <c r="A173" s="589"/>
    </row>
    <row r="174" spans="1:1" x14ac:dyDescent="0.25">
      <c r="A174" s="589"/>
    </row>
    <row r="175" spans="1:1" x14ac:dyDescent="0.25">
      <c r="A175" s="589"/>
    </row>
    <row r="176" spans="1:1" x14ac:dyDescent="0.25">
      <c r="A176" s="589"/>
    </row>
    <row r="177" spans="1:1" x14ac:dyDescent="0.25">
      <c r="A177" s="589"/>
    </row>
    <row r="178" spans="1:1" x14ac:dyDescent="0.25">
      <c r="A178" s="589"/>
    </row>
    <row r="179" spans="1:1" x14ac:dyDescent="0.25">
      <c r="A179" s="589"/>
    </row>
    <row r="180" spans="1:1" x14ac:dyDescent="0.25">
      <c r="A180" s="589"/>
    </row>
    <row r="181" spans="1:1" x14ac:dyDescent="0.25">
      <c r="A181" s="589"/>
    </row>
    <row r="182" spans="1:1" x14ac:dyDescent="0.25">
      <c r="A182" s="589"/>
    </row>
    <row r="183" spans="1:1" x14ac:dyDescent="0.25">
      <c r="A183" s="589"/>
    </row>
    <row r="184" spans="1:1" x14ac:dyDescent="0.25">
      <c r="A184" s="589"/>
    </row>
    <row r="185" spans="1:1" x14ac:dyDescent="0.25">
      <c r="A185" s="589"/>
    </row>
    <row r="186" spans="1:1" x14ac:dyDescent="0.25">
      <c r="A186" s="589"/>
    </row>
    <row r="187" spans="1:1" x14ac:dyDescent="0.25">
      <c r="A187" s="589"/>
    </row>
    <row r="188" spans="1:1" x14ac:dyDescent="0.25">
      <c r="A188" s="589"/>
    </row>
    <row r="189" spans="1:1" x14ac:dyDescent="0.25">
      <c r="A189" s="589"/>
    </row>
    <row r="190" spans="1:1" x14ac:dyDescent="0.25">
      <c r="A190" s="589"/>
    </row>
    <row r="191" spans="1:1" x14ac:dyDescent="0.25">
      <c r="A191" s="589"/>
    </row>
    <row r="192" spans="1:1" x14ac:dyDescent="0.25">
      <c r="A192" s="589"/>
    </row>
    <row r="193" spans="1:1" x14ac:dyDescent="0.25">
      <c r="A193" s="589"/>
    </row>
    <row r="194" spans="1:1" x14ac:dyDescent="0.25">
      <c r="A194" s="589"/>
    </row>
    <row r="195" spans="1:1" x14ac:dyDescent="0.25">
      <c r="A195" s="589"/>
    </row>
    <row r="196" spans="1:1" x14ac:dyDescent="0.25">
      <c r="A196" s="589"/>
    </row>
    <row r="197" spans="1:1" x14ac:dyDescent="0.25">
      <c r="A197" s="589"/>
    </row>
    <row r="198" spans="1:1" x14ac:dyDescent="0.25">
      <c r="A198" s="589"/>
    </row>
    <row r="199" spans="1:1" x14ac:dyDescent="0.25">
      <c r="A199" s="589"/>
    </row>
    <row r="200" spans="1:1" x14ac:dyDescent="0.25">
      <c r="A200" s="589"/>
    </row>
    <row r="201" spans="1:1" x14ac:dyDescent="0.25">
      <c r="A201" s="589"/>
    </row>
    <row r="202" spans="1:1" x14ac:dyDescent="0.25">
      <c r="A202" s="589"/>
    </row>
    <row r="203" spans="1:1" x14ac:dyDescent="0.25">
      <c r="A203" s="589"/>
    </row>
    <row r="204" spans="1:1" x14ac:dyDescent="0.25">
      <c r="A204" s="589"/>
    </row>
    <row r="205" spans="1:1" x14ac:dyDescent="0.25">
      <c r="A205" s="589"/>
    </row>
    <row r="206" spans="1:1" x14ac:dyDescent="0.25">
      <c r="A206" s="589"/>
    </row>
    <row r="207" spans="1:1" x14ac:dyDescent="0.25">
      <c r="A207" s="589"/>
    </row>
    <row r="208" spans="1:1" x14ac:dyDescent="0.25">
      <c r="A208" s="589"/>
    </row>
    <row r="209" spans="1:1" x14ac:dyDescent="0.25">
      <c r="A209" s="589"/>
    </row>
    <row r="210" spans="1:1" x14ac:dyDescent="0.25">
      <c r="A210" s="589"/>
    </row>
    <row r="211" spans="1:1" x14ac:dyDescent="0.25">
      <c r="A211" s="589"/>
    </row>
    <row r="212" spans="1:1" x14ac:dyDescent="0.25">
      <c r="A212" s="589"/>
    </row>
    <row r="213" spans="1:1" x14ac:dyDescent="0.25">
      <c r="A213" s="589"/>
    </row>
    <row r="214" spans="1:1" x14ac:dyDescent="0.25">
      <c r="A214" s="589"/>
    </row>
    <row r="215" spans="1:1" x14ac:dyDescent="0.25">
      <c r="A215" s="589"/>
    </row>
    <row r="216" spans="1:1" x14ac:dyDescent="0.25">
      <c r="A216" s="589"/>
    </row>
    <row r="217" spans="1:1" x14ac:dyDescent="0.25">
      <c r="A217" s="589"/>
    </row>
    <row r="218" spans="1:1" x14ac:dyDescent="0.25">
      <c r="A218" s="589"/>
    </row>
    <row r="219" spans="1:1" x14ac:dyDescent="0.25">
      <c r="A219" s="589"/>
    </row>
    <row r="220" spans="1:1" x14ac:dyDescent="0.25">
      <c r="A220" s="589"/>
    </row>
    <row r="221" spans="1:1" x14ac:dyDescent="0.25">
      <c r="A221" s="589"/>
    </row>
    <row r="222" spans="1:1" x14ac:dyDescent="0.25">
      <c r="A222" s="589"/>
    </row>
    <row r="223" spans="1:1" x14ac:dyDescent="0.25">
      <c r="A223" s="589"/>
    </row>
    <row r="224" spans="1:1" x14ac:dyDescent="0.25">
      <c r="A224" s="589"/>
    </row>
    <row r="225" spans="1:1" x14ac:dyDescent="0.25">
      <c r="A225" s="589"/>
    </row>
    <row r="226" spans="1:1" x14ac:dyDescent="0.25">
      <c r="A226" s="589"/>
    </row>
    <row r="227" spans="1:1" x14ac:dyDescent="0.25">
      <c r="A227" s="589"/>
    </row>
    <row r="228" spans="1:1" x14ac:dyDescent="0.25">
      <c r="A228" s="589"/>
    </row>
    <row r="229" spans="1:1" x14ac:dyDescent="0.25">
      <c r="A229" s="589"/>
    </row>
    <row r="230" spans="1:1" x14ac:dyDescent="0.25">
      <c r="A230" s="589"/>
    </row>
    <row r="231" spans="1:1" x14ac:dyDescent="0.25">
      <c r="A231" s="589"/>
    </row>
    <row r="232" spans="1:1" x14ac:dyDescent="0.25">
      <c r="A232" s="589"/>
    </row>
    <row r="233" spans="1:1" x14ac:dyDescent="0.25">
      <c r="A233" s="589"/>
    </row>
    <row r="234" spans="1:1" x14ac:dyDescent="0.25">
      <c r="A234" s="589"/>
    </row>
    <row r="235" spans="1:1" x14ac:dyDescent="0.25">
      <c r="A235" s="589"/>
    </row>
    <row r="236" spans="1:1" x14ac:dyDescent="0.25">
      <c r="A236" s="589"/>
    </row>
    <row r="237" spans="1:1" x14ac:dyDescent="0.25">
      <c r="A237" s="589"/>
    </row>
    <row r="238" spans="1:1" x14ac:dyDescent="0.25">
      <c r="A238" s="589"/>
    </row>
    <row r="239" spans="1:1" x14ac:dyDescent="0.25">
      <c r="A239" s="589"/>
    </row>
    <row r="240" spans="1:1" x14ac:dyDescent="0.25">
      <c r="A240" s="589"/>
    </row>
    <row r="241" spans="1:1" x14ac:dyDescent="0.25">
      <c r="A241" s="589"/>
    </row>
    <row r="242" spans="1:1" x14ac:dyDescent="0.25">
      <c r="A242" s="589"/>
    </row>
    <row r="243" spans="1:1" x14ac:dyDescent="0.25">
      <c r="A243" s="589"/>
    </row>
    <row r="244" spans="1:1" x14ac:dyDescent="0.25">
      <c r="A244" s="589"/>
    </row>
    <row r="245" spans="1:1" x14ac:dyDescent="0.25">
      <c r="A245" s="589"/>
    </row>
    <row r="246" spans="1:1" x14ac:dyDescent="0.25">
      <c r="A246" s="589"/>
    </row>
    <row r="247" spans="1:1" x14ac:dyDescent="0.25">
      <c r="A247" s="589"/>
    </row>
    <row r="248" spans="1:1" x14ac:dyDescent="0.25">
      <c r="A248" s="589"/>
    </row>
    <row r="249" spans="1:1" x14ac:dyDescent="0.25">
      <c r="A249" s="589"/>
    </row>
    <row r="250" spans="1:1" x14ac:dyDescent="0.25">
      <c r="A250" s="589"/>
    </row>
    <row r="251" spans="1:1" x14ac:dyDescent="0.25">
      <c r="A251" s="589"/>
    </row>
    <row r="252" spans="1:1" x14ac:dyDescent="0.25">
      <c r="A252" s="589"/>
    </row>
    <row r="253" spans="1:1" x14ac:dyDescent="0.25">
      <c r="A253" s="589"/>
    </row>
    <row r="254" spans="1:1" x14ac:dyDescent="0.25">
      <c r="A254" s="589"/>
    </row>
    <row r="255" spans="1:1" x14ac:dyDescent="0.25">
      <c r="A255" s="589"/>
    </row>
    <row r="256" spans="1:1" x14ac:dyDescent="0.25">
      <c r="A256" s="589"/>
    </row>
    <row r="257" spans="1:1" x14ac:dyDescent="0.25">
      <c r="A257" s="589"/>
    </row>
    <row r="258" spans="1:1" x14ac:dyDescent="0.25">
      <c r="A258" s="589"/>
    </row>
    <row r="259" spans="1:1" x14ac:dyDescent="0.25">
      <c r="A259" s="589"/>
    </row>
    <row r="260" spans="1:1" x14ac:dyDescent="0.25">
      <c r="A260" s="589"/>
    </row>
    <row r="261" spans="1:1" x14ac:dyDescent="0.25">
      <c r="A261" s="589"/>
    </row>
    <row r="262" spans="1:1" x14ac:dyDescent="0.25">
      <c r="A262" s="589"/>
    </row>
    <row r="263" spans="1:1" x14ac:dyDescent="0.25">
      <c r="A263" s="589"/>
    </row>
    <row r="264" spans="1:1" x14ac:dyDescent="0.25">
      <c r="A264" s="589"/>
    </row>
    <row r="265" spans="1:1" x14ac:dyDescent="0.25">
      <c r="A265" s="589"/>
    </row>
    <row r="266" spans="1:1" x14ac:dyDescent="0.25">
      <c r="A266" s="589"/>
    </row>
    <row r="267" spans="1:1" x14ac:dyDescent="0.25">
      <c r="A267" s="589"/>
    </row>
    <row r="268" spans="1:1" x14ac:dyDescent="0.25">
      <c r="A268" s="589"/>
    </row>
    <row r="269" spans="1:1" x14ac:dyDescent="0.25">
      <c r="A269" s="589"/>
    </row>
    <row r="270" spans="1:1" x14ac:dyDescent="0.25">
      <c r="A270" s="589"/>
    </row>
    <row r="271" spans="1:1" x14ac:dyDescent="0.25">
      <c r="A271" s="589"/>
    </row>
    <row r="272" spans="1:1" x14ac:dyDescent="0.25">
      <c r="A272" s="589"/>
    </row>
    <row r="273" spans="1:1" x14ac:dyDescent="0.25">
      <c r="A273" s="589"/>
    </row>
    <row r="274" spans="1:1" x14ac:dyDescent="0.25">
      <c r="A274" s="589"/>
    </row>
    <row r="275" spans="1:1" x14ac:dyDescent="0.25">
      <c r="A275" s="589"/>
    </row>
    <row r="276" spans="1:1" x14ac:dyDescent="0.25">
      <c r="A276" s="589"/>
    </row>
    <row r="277" spans="1:1" x14ac:dyDescent="0.25">
      <c r="A277" s="589"/>
    </row>
    <row r="278" spans="1:1" x14ac:dyDescent="0.25">
      <c r="A278" s="589"/>
    </row>
    <row r="279" spans="1:1" x14ac:dyDescent="0.25">
      <c r="A279" s="589"/>
    </row>
    <row r="280" spans="1:1" x14ac:dyDescent="0.25">
      <c r="A280" s="589"/>
    </row>
    <row r="281" spans="1:1" x14ac:dyDescent="0.25">
      <c r="A281" s="589"/>
    </row>
    <row r="282" spans="1:1" x14ac:dyDescent="0.25">
      <c r="A282" s="589"/>
    </row>
    <row r="283" spans="1:1" x14ac:dyDescent="0.25">
      <c r="A283" s="589"/>
    </row>
    <row r="284" spans="1:1" x14ac:dyDescent="0.25">
      <c r="A284" s="589"/>
    </row>
    <row r="285" spans="1:1" x14ac:dyDescent="0.25">
      <c r="A285" s="589"/>
    </row>
    <row r="286" spans="1:1" x14ac:dyDescent="0.25">
      <c r="A286" s="589"/>
    </row>
    <row r="287" spans="1:1" x14ac:dyDescent="0.25">
      <c r="A287" s="589"/>
    </row>
    <row r="288" spans="1:1" x14ac:dyDescent="0.25">
      <c r="A288" s="589"/>
    </row>
    <row r="289" spans="1:1" x14ac:dyDescent="0.25">
      <c r="A289" s="589"/>
    </row>
    <row r="290" spans="1:1" x14ac:dyDescent="0.25">
      <c r="A290" s="589"/>
    </row>
    <row r="291" spans="1:1" x14ac:dyDescent="0.25">
      <c r="A291" s="589"/>
    </row>
    <row r="292" spans="1:1" x14ac:dyDescent="0.25">
      <c r="A292" s="589"/>
    </row>
    <row r="293" spans="1:1" x14ac:dyDescent="0.25">
      <c r="A293" s="589"/>
    </row>
    <row r="294" spans="1:1" x14ac:dyDescent="0.25">
      <c r="A294" s="589"/>
    </row>
    <row r="295" spans="1:1" x14ac:dyDescent="0.25">
      <c r="A295" s="589"/>
    </row>
    <row r="296" spans="1:1" x14ac:dyDescent="0.25">
      <c r="A296" s="589"/>
    </row>
    <row r="297" spans="1:1" x14ac:dyDescent="0.25">
      <c r="A297" s="589"/>
    </row>
    <row r="298" spans="1:1" x14ac:dyDescent="0.25">
      <c r="A298" s="589"/>
    </row>
    <row r="299" spans="1:1" x14ac:dyDescent="0.25">
      <c r="A299" s="589"/>
    </row>
    <row r="300" spans="1:1" x14ac:dyDescent="0.25">
      <c r="A300" s="589"/>
    </row>
    <row r="301" spans="1:1" x14ac:dyDescent="0.25">
      <c r="A301" s="589"/>
    </row>
    <row r="302" spans="1:1" x14ac:dyDescent="0.25">
      <c r="A302" s="589"/>
    </row>
    <row r="303" spans="1:1" x14ac:dyDescent="0.25">
      <c r="A303" s="589"/>
    </row>
    <row r="304" spans="1:1" x14ac:dyDescent="0.25">
      <c r="A304" s="589"/>
    </row>
    <row r="305" spans="1:1" x14ac:dyDescent="0.25">
      <c r="A305" s="589"/>
    </row>
    <row r="306" spans="1:1" x14ac:dyDescent="0.25">
      <c r="A306" s="589"/>
    </row>
    <row r="307" spans="1:1" x14ac:dyDescent="0.25">
      <c r="A307" s="589"/>
    </row>
    <row r="308" spans="1:1" x14ac:dyDescent="0.25">
      <c r="A308" s="589"/>
    </row>
    <row r="309" spans="1:1" x14ac:dyDescent="0.25">
      <c r="A309" s="589"/>
    </row>
    <row r="310" spans="1:1" x14ac:dyDescent="0.25">
      <c r="A310" s="589"/>
    </row>
    <row r="311" spans="1:1" x14ac:dyDescent="0.25">
      <c r="A311" s="589"/>
    </row>
    <row r="312" spans="1:1" x14ac:dyDescent="0.25">
      <c r="A312" s="589"/>
    </row>
    <row r="313" spans="1:1" x14ac:dyDescent="0.25">
      <c r="A313" s="589"/>
    </row>
    <row r="314" spans="1:1" x14ac:dyDescent="0.25">
      <c r="A314" s="589"/>
    </row>
    <row r="315" spans="1:1" x14ac:dyDescent="0.25">
      <c r="A315" s="589"/>
    </row>
    <row r="316" spans="1:1" x14ac:dyDescent="0.25">
      <c r="A316" s="589"/>
    </row>
    <row r="317" spans="1:1" x14ac:dyDescent="0.25">
      <c r="A317" s="589"/>
    </row>
    <row r="318" spans="1:1" x14ac:dyDescent="0.25">
      <c r="A318" s="589"/>
    </row>
    <row r="319" spans="1:1" x14ac:dyDescent="0.25">
      <c r="A319" s="589"/>
    </row>
    <row r="320" spans="1:1" x14ac:dyDescent="0.25">
      <c r="A320" s="589"/>
    </row>
    <row r="321" spans="1:1" x14ac:dyDescent="0.25">
      <c r="A321" s="589"/>
    </row>
    <row r="322" spans="1:1" x14ac:dyDescent="0.25">
      <c r="A322" s="589"/>
    </row>
    <row r="323" spans="1:1" x14ac:dyDescent="0.25">
      <c r="A323" s="589"/>
    </row>
    <row r="324" spans="1:1" x14ac:dyDescent="0.25">
      <c r="A324" s="589"/>
    </row>
    <row r="325" spans="1:1" x14ac:dyDescent="0.25">
      <c r="A325" s="589"/>
    </row>
    <row r="326" spans="1:1" x14ac:dyDescent="0.25">
      <c r="A326" s="589"/>
    </row>
    <row r="327" spans="1:1" x14ac:dyDescent="0.25">
      <c r="A327" s="589"/>
    </row>
    <row r="328" spans="1:1" x14ac:dyDescent="0.25">
      <c r="A328" s="589"/>
    </row>
    <row r="329" spans="1:1" x14ac:dyDescent="0.25">
      <c r="A329" s="589"/>
    </row>
    <row r="330" spans="1:1" x14ac:dyDescent="0.25">
      <c r="A330" s="589"/>
    </row>
    <row r="331" spans="1:1" x14ac:dyDescent="0.25">
      <c r="A331" s="589"/>
    </row>
    <row r="332" spans="1:1" x14ac:dyDescent="0.25">
      <c r="A332" s="589"/>
    </row>
    <row r="333" spans="1:1" x14ac:dyDescent="0.25">
      <c r="A333" s="589"/>
    </row>
    <row r="334" spans="1:1" x14ac:dyDescent="0.25">
      <c r="A334" s="589"/>
    </row>
    <row r="335" spans="1:1" x14ac:dyDescent="0.25">
      <c r="A335" s="589"/>
    </row>
    <row r="336" spans="1:1" x14ac:dyDescent="0.25">
      <c r="A336" s="589"/>
    </row>
    <row r="337" spans="1:1" x14ac:dyDescent="0.25">
      <c r="A337" s="589"/>
    </row>
    <row r="338" spans="1:1" x14ac:dyDescent="0.25">
      <c r="A338" s="589"/>
    </row>
    <row r="339" spans="1:1" x14ac:dyDescent="0.25">
      <c r="A339" s="589"/>
    </row>
    <row r="340" spans="1:1" x14ac:dyDescent="0.25">
      <c r="A340" s="589"/>
    </row>
    <row r="341" spans="1:1" x14ac:dyDescent="0.25">
      <c r="A341" s="589"/>
    </row>
    <row r="342" spans="1:1" x14ac:dyDescent="0.25">
      <c r="A342" s="589"/>
    </row>
    <row r="343" spans="1:1" x14ac:dyDescent="0.25">
      <c r="A343" s="589"/>
    </row>
    <row r="344" spans="1:1" x14ac:dyDescent="0.25">
      <c r="A344" s="589"/>
    </row>
    <row r="345" spans="1:1" x14ac:dyDescent="0.25">
      <c r="A345" s="589"/>
    </row>
    <row r="346" spans="1:1" x14ac:dyDescent="0.25">
      <c r="A346" s="589"/>
    </row>
    <row r="347" spans="1:1" x14ac:dyDescent="0.25">
      <c r="A347" s="589"/>
    </row>
    <row r="348" spans="1:1" x14ac:dyDescent="0.25">
      <c r="A348" s="589"/>
    </row>
    <row r="349" spans="1:1" x14ac:dyDescent="0.25">
      <c r="A349" s="589"/>
    </row>
    <row r="350" spans="1:1" x14ac:dyDescent="0.25">
      <c r="A350" s="589"/>
    </row>
    <row r="351" spans="1:1" x14ac:dyDescent="0.25">
      <c r="A351" s="589"/>
    </row>
    <row r="352" spans="1:1" x14ac:dyDescent="0.25">
      <c r="A352" s="589"/>
    </row>
    <row r="353" spans="1:1" x14ac:dyDescent="0.25">
      <c r="A353" s="589"/>
    </row>
    <row r="354" spans="1:1" x14ac:dyDescent="0.25">
      <c r="A354" s="589"/>
    </row>
    <row r="355" spans="1:1" x14ac:dyDescent="0.25">
      <c r="A355" s="589"/>
    </row>
    <row r="356" spans="1:1" x14ac:dyDescent="0.25">
      <c r="A356" s="589"/>
    </row>
    <row r="357" spans="1:1" x14ac:dyDescent="0.25">
      <c r="A357" s="589"/>
    </row>
    <row r="358" spans="1:1" x14ac:dyDescent="0.25">
      <c r="A358" s="589"/>
    </row>
    <row r="359" spans="1:1" x14ac:dyDescent="0.25">
      <c r="A359" s="589"/>
    </row>
    <row r="360" spans="1:1" x14ac:dyDescent="0.25">
      <c r="A360" s="589"/>
    </row>
    <row r="361" spans="1:1" x14ac:dyDescent="0.25">
      <c r="A361" s="589"/>
    </row>
    <row r="362" spans="1:1" x14ac:dyDescent="0.25">
      <c r="A362" s="589"/>
    </row>
    <row r="363" spans="1:1" x14ac:dyDescent="0.25">
      <c r="A363" s="589"/>
    </row>
    <row r="364" spans="1:1" x14ac:dyDescent="0.25">
      <c r="A364" s="589"/>
    </row>
    <row r="365" spans="1:1" x14ac:dyDescent="0.25">
      <c r="A365" s="589"/>
    </row>
    <row r="366" spans="1:1" x14ac:dyDescent="0.25">
      <c r="A366" s="589"/>
    </row>
    <row r="367" spans="1:1" x14ac:dyDescent="0.25">
      <c r="A367" s="589"/>
    </row>
    <row r="368" spans="1:1" x14ac:dyDescent="0.25">
      <c r="A368" s="589"/>
    </row>
    <row r="369" spans="1:1" x14ac:dyDescent="0.25">
      <c r="A369" s="589"/>
    </row>
    <row r="370" spans="1:1" x14ac:dyDescent="0.25">
      <c r="A370" s="589"/>
    </row>
    <row r="371" spans="1:1" x14ac:dyDescent="0.25">
      <c r="A371" s="589"/>
    </row>
    <row r="372" spans="1:1" x14ac:dyDescent="0.25">
      <c r="A372" s="589"/>
    </row>
    <row r="373" spans="1:1" x14ac:dyDescent="0.25">
      <c r="A373" s="589"/>
    </row>
    <row r="374" spans="1:1" x14ac:dyDescent="0.25">
      <c r="A374" s="589"/>
    </row>
    <row r="375" spans="1:1" x14ac:dyDescent="0.25">
      <c r="A375" s="589"/>
    </row>
    <row r="376" spans="1:1" x14ac:dyDescent="0.25">
      <c r="A376" s="589"/>
    </row>
    <row r="377" spans="1:1" x14ac:dyDescent="0.25">
      <c r="A377" s="589"/>
    </row>
    <row r="378" spans="1:1" x14ac:dyDescent="0.25">
      <c r="A378" s="589"/>
    </row>
    <row r="379" spans="1:1" x14ac:dyDescent="0.25">
      <c r="A379" s="589"/>
    </row>
    <row r="380" spans="1:1" x14ac:dyDescent="0.25">
      <c r="A380" s="589"/>
    </row>
    <row r="381" spans="1:1" x14ac:dyDescent="0.25">
      <c r="A381" s="589"/>
    </row>
    <row r="382" spans="1:1" x14ac:dyDescent="0.25">
      <c r="A382" s="589"/>
    </row>
    <row r="383" spans="1:1" x14ac:dyDescent="0.25">
      <c r="A383" s="589"/>
    </row>
    <row r="384" spans="1:1" x14ac:dyDescent="0.25">
      <c r="A384" s="589"/>
    </row>
    <row r="385" spans="1:1" x14ac:dyDescent="0.25">
      <c r="A385" s="589"/>
    </row>
    <row r="386" spans="1:1" x14ac:dyDescent="0.25">
      <c r="A386" s="589"/>
    </row>
    <row r="387" spans="1:1" x14ac:dyDescent="0.25">
      <c r="A387" s="589"/>
    </row>
    <row r="388" spans="1:1" x14ac:dyDescent="0.25">
      <c r="A388" s="589"/>
    </row>
    <row r="389" spans="1:1" x14ac:dyDescent="0.25">
      <c r="A389" s="589"/>
    </row>
    <row r="390" spans="1:1" x14ac:dyDescent="0.25">
      <c r="A390" s="589"/>
    </row>
    <row r="391" spans="1:1" x14ac:dyDescent="0.25">
      <c r="A391" s="589"/>
    </row>
    <row r="392" spans="1:1" x14ac:dyDescent="0.25">
      <c r="A392" s="589"/>
    </row>
    <row r="393" spans="1:1" x14ac:dyDescent="0.25">
      <c r="A393" s="589"/>
    </row>
    <row r="394" spans="1:1" x14ac:dyDescent="0.25">
      <c r="A394" s="589"/>
    </row>
    <row r="395" spans="1:1" x14ac:dyDescent="0.25">
      <c r="A395" s="589"/>
    </row>
    <row r="396" spans="1:1" x14ac:dyDescent="0.25">
      <c r="A396" s="589"/>
    </row>
    <row r="397" spans="1:1" x14ac:dyDescent="0.25">
      <c r="A397" s="589"/>
    </row>
    <row r="398" spans="1:1" x14ac:dyDescent="0.25">
      <c r="A398" s="589"/>
    </row>
    <row r="399" spans="1:1" x14ac:dyDescent="0.25">
      <c r="A399" s="589"/>
    </row>
    <row r="400" spans="1:1" x14ac:dyDescent="0.25">
      <c r="A400" s="589"/>
    </row>
    <row r="401" spans="1:1" x14ac:dyDescent="0.25">
      <c r="A401" s="589"/>
    </row>
    <row r="402" spans="1:1" x14ac:dyDescent="0.25">
      <c r="A402" s="589"/>
    </row>
    <row r="403" spans="1:1" x14ac:dyDescent="0.25">
      <c r="A403" s="589"/>
    </row>
    <row r="404" spans="1:1" x14ac:dyDescent="0.25">
      <c r="A404" s="589"/>
    </row>
    <row r="405" spans="1:1" x14ac:dyDescent="0.25">
      <c r="A405" s="589"/>
    </row>
    <row r="406" spans="1:1" x14ac:dyDescent="0.25">
      <c r="A406" s="589"/>
    </row>
    <row r="407" spans="1:1" x14ac:dyDescent="0.25">
      <c r="A407" s="589"/>
    </row>
    <row r="408" spans="1:1" x14ac:dyDescent="0.25">
      <c r="A408" s="589"/>
    </row>
    <row r="409" spans="1:1" x14ac:dyDescent="0.25">
      <c r="A409" s="589"/>
    </row>
    <row r="410" spans="1:1" x14ac:dyDescent="0.25">
      <c r="A410" s="589"/>
    </row>
    <row r="411" spans="1:1" x14ac:dyDescent="0.25">
      <c r="A411" s="589"/>
    </row>
    <row r="412" spans="1:1" x14ac:dyDescent="0.25">
      <c r="A412" s="589"/>
    </row>
    <row r="413" spans="1:1" x14ac:dyDescent="0.25">
      <c r="A413" s="589"/>
    </row>
    <row r="414" spans="1:1" x14ac:dyDescent="0.25">
      <c r="A414" s="589"/>
    </row>
    <row r="415" spans="1:1" x14ac:dyDescent="0.25">
      <c r="A415" s="589"/>
    </row>
    <row r="416" spans="1:1" x14ac:dyDescent="0.25">
      <c r="A416" s="589"/>
    </row>
    <row r="417" spans="1:1" x14ac:dyDescent="0.25">
      <c r="A417" s="589"/>
    </row>
    <row r="418" spans="1:1" x14ac:dyDescent="0.25">
      <c r="A418" s="589"/>
    </row>
    <row r="419" spans="1:1" x14ac:dyDescent="0.25">
      <c r="A419" s="589"/>
    </row>
    <row r="420" spans="1:1" x14ac:dyDescent="0.25">
      <c r="A420" s="589"/>
    </row>
    <row r="421" spans="1:1" x14ac:dyDescent="0.25">
      <c r="A421" s="589"/>
    </row>
    <row r="422" spans="1:1" x14ac:dyDescent="0.25">
      <c r="A422" s="589"/>
    </row>
    <row r="423" spans="1:1" x14ac:dyDescent="0.25">
      <c r="A423" s="589"/>
    </row>
    <row r="424" spans="1:1" x14ac:dyDescent="0.25">
      <c r="A424" s="589"/>
    </row>
    <row r="425" spans="1:1" x14ac:dyDescent="0.25">
      <c r="A425" s="589"/>
    </row>
    <row r="426" spans="1:1" x14ac:dyDescent="0.25">
      <c r="A426" s="589"/>
    </row>
    <row r="427" spans="1:1" x14ac:dyDescent="0.25">
      <c r="A427" s="589"/>
    </row>
    <row r="428" spans="1:1" x14ac:dyDescent="0.25">
      <c r="A428" s="589"/>
    </row>
    <row r="429" spans="1:1" x14ac:dyDescent="0.25">
      <c r="A429" s="589"/>
    </row>
    <row r="430" spans="1:1" x14ac:dyDescent="0.25">
      <c r="A430" s="589"/>
    </row>
    <row r="431" spans="1:1" x14ac:dyDescent="0.25">
      <c r="A431" s="589"/>
    </row>
    <row r="432" spans="1:1" x14ac:dyDescent="0.25">
      <c r="A432" s="589"/>
    </row>
    <row r="433" spans="1:1" x14ac:dyDescent="0.25">
      <c r="A433" s="589"/>
    </row>
    <row r="434" spans="1:1" x14ac:dyDescent="0.25">
      <c r="A434" s="589"/>
    </row>
    <row r="435" spans="1:1" x14ac:dyDescent="0.25">
      <c r="A435" s="589"/>
    </row>
    <row r="436" spans="1:1" x14ac:dyDescent="0.25">
      <c r="A436" s="589"/>
    </row>
    <row r="437" spans="1:1" x14ac:dyDescent="0.25">
      <c r="A437" s="589"/>
    </row>
    <row r="438" spans="1:1" x14ac:dyDescent="0.25">
      <c r="A438" s="589"/>
    </row>
    <row r="439" spans="1:1" x14ac:dyDescent="0.25">
      <c r="A439" s="589"/>
    </row>
    <row r="440" spans="1:1" x14ac:dyDescent="0.25">
      <c r="A440" s="589"/>
    </row>
    <row r="441" spans="1:1" x14ac:dyDescent="0.25">
      <c r="A441" s="589"/>
    </row>
    <row r="442" spans="1:1" x14ac:dyDescent="0.25">
      <c r="A442" s="589"/>
    </row>
    <row r="443" spans="1:1" x14ac:dyDescent="0.25">
      <c r="A443" s="589"/>
    </row>
    <row r="444" spans="1:1" x14ac:dyDescent="0.25">
      <c r="A444" s="589"/>
    </row>
    <row r="445" spans="1:1" x14ac:dyDescent="0.25">
      <c r="A445" s="589"/>
    </row>
    <row r="446" spans="1:1" x14ac:dyDescent="0.25">
      <c r="A446" s="589"/>
    </row>
    <row r="447" spans="1:1" x14ac:dyDescent="0.25">
      <c r="A447" s="589"/>
    </row>
    <row r="448" spans="1:1" x14ac:dyDescent="0.25">
      <c r="A448" s="589"/>
    </row>
    <row r="449" spans="1:1" x14ac:dyDescent="0.25">
      <c r="A449" s="589"/>
    </row>
    <row r="450" spans="1:1" x14ac:dyDescent="0.25">
      <c r="A450" s="589"/>
    </row>
    <row r="451" spans="1:1" x14ac:dyDescent="0.25">
      <c r="A451" s="589"/>
    </row>
    <row r="452" spans="1:1" x14ac:dyDescent="0.25">
      <c r="A452" s="589"/>
    </row>
    <row r="453" spans="1:1" x14ac:dyDescent="0.25">
      <c r="A453" s="589"/>
    </row>
    <row r="454" spans="1:1" x14ac:dyDescent="0.25">
      <c r="A454" s="589"/>
    </row>
    <row r="455" spans="1:1" x14ac:dyDescent="0.25">
      <c r="A455" s="589"/>
    </row>
    <row r="456" spans="1:1" x14ac:dyDescent="0.25">
      <c r="A456" s="589"/>
    </row>
    <row r="457" spans="1:1" x14ac:dyDescent="0.25">
      <c r="A457" s="589"/>
    </row>
    <row r="458" spans="1:1" x14ac:dyDescent="0.25">
      <c r="A458" s="589"/>
    </row>
    <row r="459" spans="1:1" x14ac:dyDescent="0.25">
      <c r="A459" s="589"/>
    </row>
    <row r="460" spans="1:1" x14ac:dyDescent="0.25">
      <c r="A460" s="589"/>
    </row>
    <row r="461" spans="1:1" x14ac:dyDescent="0.25">
      <c r="A461" s="589"/>
    </row>
    <row r="462" spans="1:1" x14ac:dyDescent="0.25">
      <c r="A462" s="589"/>
    </row>
    <row r="463" spans="1:1" x14ac:dyDescent="0.25">
      <c r="A463" s="589"/>
    </row>
    <row r="464" spans="1:1" x14ac:dyDescent="0.25">
      <c r="A464" s="589"/>
    </row>
    <row r="465" spans="1:1" x14ac:dyDescent="0.25">
      <c r="A465" s="589"/>
    </row>
    <row r="466" spans="1:1" x14ac:dyDescent="0.25">
      <c r="A466" s="589"/>
    </row>
    <row r="467" spans="1:1" x14ac:dyDescent="0.25">
      <c r="A467" s="589"/>
    </row>
    <row r="468" spans="1:1" x14ac:dyDescent="0.25">
      <c r="A468" s="589"/>
    </row>
    <row r="469" spans="1:1" x14ac:dyDescent="0.25">
      <c r="A469" s="589"/>
    </row>
    <row r="470" spans="1:1" x14ac:dyDescent="0.25">
      <c r="A470" s="589"/>
    </row>
    <row r="471" spans="1:1" x14ac:dyDescent="0.25">
      <c r="A471" s="589"/>
    </row>
    <row r="472" spans="1:1" x14ac:dyDescent="0.25">
      <c r="A472" s="589"/>
    </row>
    <row r="473" spans="1:1" x14ac:dyDescent="0.25">
      <c r="A473" s="589"/>
    </row>
    <row r="474" spans="1:1" x14ac:dyDescent="0.25">
      <c r="A474" s="589"/>
    </row>
  </sheetData>
  <mergeCells count="15">
    <mergeCell ref="B92:D92"/>
    <mergeCell ref="E92:G92"/>
    <mergeCell ref="H92:J92"/>
    <mergeCell ref="A6:L6"/>
    <mergeCell ref="A8:A10"/>
    <mergeCell ref="B8:B10"/>
    <mergeCell ref="C8:C10"/>
    <mergeCell ref="D8:D10"/>
    <mergeCell ref="E8:H8"/>
    <mergeCell ref="I8:L8"/>
    <mergeCell ref="E9:E10"/>
    <mergeCell ref="F9:H9"/>
    <mergeCell ref="I9:I10"/>
    <mergeCell ref="J9:L9"/>
    <mergeCell ref="A83:D83"/>
  </mergeCells>
  <pageMargins left="0.7" right="0.7"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topLeftCell="A32" workbookViewId="0">
      <selection activeCell="D39" sqref="D39"/>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609</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202" t="s">
        <v>187</v>
      </c>
      <c r="B8" s="1202"/>
      <c r="C8" s="1202"/>
      <c r="D8" s="1202"/>
      <c r="E8" s="1202"/>
      <c r="F8" s="1202"/>
      <c r="G8" s="1202"/>
    </row>
    <row r="9" spans="1:24" x14ac:dyDescent="0.25">
      <c r="A9" s="1202" t="s">
        <v>615</v>
      </c>
      <c r="B9" s="1202"/>
      <c r="C9" s="1202"/>
      <c r="D9" s="1202"/>
      <c r="E9" s="1202"/>
      <c r="F9" s="1202"/>
      <c r="G9" s="1202"/>
    </row>
    <row r="10" spans="1:24" x14ac:dyDescent="0.25">
      <c r="A10" s="413"/>
      <c r="B10" s="414"/>
      <c r="E10" s="415"/>
      <c r="F10" s="416"/>
      <c r="G10" s="341"/>
    </row>
    <row r="11" spans="1:24" s="126" customFormat="1" x14ac:dyDescent="0.25">
      <c r="A11" s="1162" t="s">
        <v>26</v>
      </c>
      <c r="B11" s="1163" t="s">
        <v>188</v>
      </c>
      <c r="C11" s="1203" t="s">
        <v>189</v>
      </c>
      <c r="D11" s="1203"/>
      <c r="E11" s="1163" t="s">
        <v>190</v>
      </c>
      <c r="F11" s="1164" t="s">
        <v>191</v>
      </c>
      <c r="G11" s="1163"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62"/>
      <c r="B12" s="1163"/>
      <c r="C12" s="380" t="s">
        <v>193</v>
      </c>
      <c r="D12" s="380" t="s">
        <v>194</v>
      </c>
      <c r="E12" s="1163"/>
      <c r="F12" s="1164"/>
      <c r="G12" s="1163"/>
      <c r="H12" s="319"/>
      <c r="I12" s="124"/>
      <c r="J12" s="124"/>
      <c r="K12" s="124"/>
      <c r="L12" s="124"/>
      <c r="M12" s="124"/>
      <c r="N12" s="124"/>
      <c r="O12" s="124"/>
      <c r="P12" s="124"/>
      <c r="Q12" s="124"/>
      <c r="R12" s="124"/>
      <c r="S12" s="124"/>
      <c r="T12" s="124"/>
      <c r="U12" s="124"/>
      <c r="V12" s="124"/>
      <c r="W12" s="124"/>
      <c r="X12" s="124"/>
    </row>
    <row r="13" spans="1:24" s="126" customFormat="1" x14ac:dyDescent="0.25">
      <c r="A13" s="535" t="s">
        <v>28</v>
      </c>
      <c r="B13" s="536">
        <v>2</v>
      </c>
      <c r="C13" s="379" t="s">
        <v>103</v>
      </c>
      <c r="D13" s="380">
        <v>4</v>
      </c>
      <c r="E13" s="535" t="s">
        <v>155</v>
      </c>
      <c r="F13" s="537">
        <v>6</v>
      </c>
      <c r="G13" s="535" t="s">
        <v>29</v>
      </c>
      <c r="H13" s="319"/>
      <c r="I13" s="124"/>
      <c r="J13" s="124"/>
      <c r="K13" s="124"/>
      <c r="L13" s="124"/>
      <c r="M13" s="124"/>
      <c r="N13" s="124"/>
      <c r="O13" s="124"/>
      <c r="P13" s="124"/>
      <c r="Q13" s="124"/>
      <c r="R13" s="124"/>
      <c r="S13" s="124"/>
      <c r="T13" s="124"/>
      <c r="U13" s="124"/>
      <c r="V13" s="124"/>
      <c r="W13" s="124"/>
      <c r="X13" s="124"/>
    </row>
    <row r="14" spans="1:24" ht="19.5" customHeight="1" x14ac:dyDescent="0.25">
      <c r="A14" s="190">
        <v>1</v>
      </c>
      <c r="B14" s="1165" t="s">
        <v>48</v>
      </c>
      <c r="C14" s="1165"/>
      <c r="D14" s="1165"/>
      <c r="E14" s="1165"/>
      <c r="F14" s="1165"/>
      <c r="G14" s="1165"/>
    </row>
    <row r="15" spans="1:24" ht="57.75" customHeight="1" x14ac:dyDescent="0.25">
      <c r="A15" s="197" t="s">
        <v>46</v>
      </c>
      <c r="B15" s="1150" t="s">
        <v>195</v>
      </c>
      <c r="C15" s="1151"/>
      <c r="D15" s="1151"/>
      <c r="E15" s="1151"/>
      <c r="F15" s="1151"/>
      <c r="G15" s="1151"/>
    </row>
    <row r="16" spans="1:24" s="341" customFormat="1" ht="31.5" x14ac:dyDescent="0.25">
      <c r="A16" s="554"/>
      <c r="B16" s="337" t="s">
        <v>196</v>
      </c>
      <c r="C16" s="346">
        <f>'звіт ІІ кв'!E14</f>
        <v>12076.45</v>
      </c>
      <c r="D16" s="346">
        <f>'звіт ІІ кв'!I14</f>
        <v>4649.2897300000004</v>
      </c>
      <c r="E16" s="346">
        <f>D16-C16</f>
        <v>-7427.1602700000003</v>
      </c>
      <c r="F16" s="332">
        <f>D16/C16*100</f>
        <v>38.498811571281294</v>
      </c>
      <c r="G16" s="696" t="s">
        <v>817</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554"/>
      <c r="B17" s="342" t="s">
        <v>197</v>
      </c>
      <c r="C17" s="332">
        <v>24000</v>
      </c>
      <c r="D17" s="332">
        <v>13718</v>
      </c>
      <c r="E17" s="332">
        <f>D17-C17</f>
        <v>-10282</v>
      </c>
      <c r="F17" s="332">
        <f>D17/C17*100</f>
        <v>57.158333333333331</v>
      </c>
      <c r="G17" s="696" t="s">
        <v>815</v>
      </c>
      <c r="H17" s="555">
        <f>D17+D22+D27</f>
        <v>27177</v>
      </c>
      <c r="I17" s="289"/>
      <c r="J17" s="289"/>
      <c r="K17" s="289"/>
      <c r="L17" s="289"/>
      <c r="M17" s="289"/>
      <c r="N17" s="289"/>
      <c r="O17" s="289"/>
      <c r="P17" s="289"/>
      <c r="Q17" s="289"/>
      <c r="R17" s="289"/>
      <c r="S17" s="289"/>
      <c r="T17" s="289"/>
      <c r="U17" s="289"/>
      <c r="V17" s="289"/>
      <c r="W17" s="289"/>
      <c r="X17" s="289"/>
    </row>
    <row r="18" spans="1:24" s="341" customFormat="1" ht="47.25" x14ac:dyDescent="0.25">
      <c r="A18" s="554"/>
      <c r="B18" s="342" t="s">
        <v>198</v>
      </c>
      <c r="C18" s="330">
        <f>C16/C17</f>
        <v>0.50318541666666672</v>
      </c>
      <c r="D18" s="330">
        <f>D16/D17</f>
        <v>0.33891891893862081</v>
      </c>
      <c r="E18" s="391">
        <f>D18-C18</f>
        <v>-0.16426649772804591</v>
      </c>
      <c r="F18" s="332">
        <f>D18/C18*100</f>
        <v>67.354678357687064</v>
      </c>
      <c r="G18" s="696" t="s">
        <v>816</v>
      </c>
      <c r="H18" s="340"/>
      <c r="I18" s="289"/>
      <c r="J18" s="289"/>
      <c r="K18" s="289"/>
      <c r="L18" s="289"/>
      <c r="M18" s="289"/>
      <c r="N18" s="289"/>
      <c r="O18" s="289"/>
      <c r="P18" s="289"/>
      <c r="Q18" s="289"/>
      <c r="R18" s="289"/>
      <c r="S18" s="289"/>
      <c r="T18" s="289"/>
      <c r="U18" s="289"/>
      <c r="V18" s="289"/>
      <c r="W18" s="289"/>
      <c r="X18" s="289"/>
    </row>
    <row r="19" spans="1:24" s="341" customFormat="1" ht="63" x14ac:dyDescent="0.25">
      <c r="A19" s="554"/>
      <c r="B19" s="342" t="s">
        <v>199</v>
      </c>
      <c r="C19" s="391">
        <v>69.364161849710982</v>
      </c>
      <c r="D19" s="391">
        <f>D17/34600*100</f>
        <v>39.647398843930638</v>
      </c>
      <c r="E19" s="391">
        <f>D19-C19</f>
        <v>-29.716763005780344</v>
      </c>
      <c r="F19" s="351">
        <f>D19/C19*100</f>
        <v>57.158333333333331</v>
      </c>
      <c r="G19" s="696" t="s">
        <v>815</v>
      </c>
      <c r="H19" s="340"/>
      <c r="I19" s="289"/>
      <c r="J19" s="289"/>
      <c r="K19" s="289"/>
      <c r="L19" s="289"/>
      <c r="M19" s="289"/>
      <c r="N19" s="289"/>
      <c r="O19" s="289"/>
      <c r="P19" s="289"/>
      <c r="Q19" s="289"/>
      <c r="R19" s="289"/>
      <c r="S19" s="289"/>
      <c r="T19" s="289"/>
      <c r="U19" s="289"/>
      <c r="V19" s="289"/>
      <c r="W19" s="289"/>
      <c r="X19" s="289"/>
    </row>
    <row r="20" spans="1:24" s="341" customFormat="1" x14ac:dyDescent="0.25">
      <c r="A20" s="344"/>
      <c r="B20" s="1196" t="s">
        <v>200</v>
      </c>
      <c r="C20" s="1197"/>
      <c r="D20" s="1197"/>
      <c r="E20" s="1197"/>
      <c r="F20" s="1197"/>
      <c r="G20" s="1197"/>
      <c r="H20" s="340"/>
      <c r="I20" s="289"/>
      <c r="J20" s="289"/>
      <c r="K20" s="289"/>
      <c r="L20" s="289"/>
      <c r="M20" s="289"/>
      <c r="N20" s="289"/>
      <c r="O20" s="289"/>
      <c r="P20" s="289"/>
      <c r="Q20" s="289"/>
      <c r="R20" s="289"/>
      <c r="S20" s="289"/>
      <c r="T20" s="289"/>
      <c r="U20" s="289"/>
      <c r="V20" s="289"/>
      <c r="W20" s="289"/>
      <c r="X20" s="289"/>
    </row>
    <row r="21" spans="1:24" s="341" customFormat="1" ht="78.75" x14ac:dyDescent="0.25">
      <c r="A21" s="344"/>
      <c r="B21" s="337" t="s">
        <v>196</v>
      </c>
      <c r="C21" s="346">
        <f>'звіт ІІ кв'!H15</f>
        <v>6662.29</v>
      </c>
      <c r="D21" s="346">
        <f>'звіт ІІ кв'!I15</f>
        <v>5467.7753499999999</v>
      </c>
      <c r="E21" s="346">
        <f>D21-C21</f>
        <v>-1194.5146500000001</v>
      </c>
      <c r="F21" s="339">
        <f>D21/C21*100</f>
        <v>82.070509539512699</v>
      </c>
      <c r="G21" s="443" t="s">
        <v>747</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344"/>
      <c r="B22" s="342" t="s">
        <v>201</v>
      </c>
      <c r="C22" s="332">
        <v>17700</v>
      </c>
      <c r="D22" s="332">
        <v>9440</v>
      </c>
      <c r="E22" s="332">
        <f>D22-C22</f>
        <v>-8260</v>
      </c>
      <c r="F22" s="339">
        <f>D22/C22*100</f>
        <v>53.333333333333336</v>
      </c>
      <c r="G22" s="443" t="s">
        <v>744</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344"/>
      <c r="B23" s="342" t="s">
        <v>202</v>
      </c>
      <c r="C23" s="391">
        <f>C21/C22</f>
        <v>0.37640056497175139</v>
      </c>
      <c r="D23" s="391">
        <f>D21/D22</f>
        <v>0.57921349046610171</v>
      </c>
      <c r="E23" s="517">
        <f>D23-C23</f>
        <v>0.20281292549435032</v>
      </c>
      <c r="F23" s="339">
        <f>D23/C23*100</f>
        <v>153.88220538658629</v>
      </c>
      <c r="G23" s="443" t="s">
        <v>744</v>
      </c>
      <c r="H23" s="340"/>
      <c r="I23" s="289"/>
      <c r="J23" s="289"/>
      <c r="K23" s="289"/>
      <c r="L23" s="289"/>
      <c r="M23" s="289"/>
      <c r="N23" s="289"/>
      <c r="O23" s="289"/>
      <c r="P23" s="289"/>
      <c r="Q23" s="289"/>
      <c r="R23" s="289"/>
      <c r="S23" s="289"/>
      <c r="T23" s="289"/>
      <c r="U23" s="289"/>
      <c r="V23" s="289"/>
      <c r="W23" s="289"/>
      <c r="X23" s="289"/>
    </row>
    <row r="24" spans="1:24" s="341" customFormat="1" ht="63" x14ac:dyDescent="0.25">
      <c r="A24" s="344"/>
      <c r="B24" s="342" t="s">
        <v>203</v>
      </c>
      <c r="C24" s="330">
        <v>53.153153153153156</v>
      </c>
      <c r="D24" s="391">
        <f>D22/33300*100</f>
        <v>28.348348348348345</v>
      </c>
      <c r="E24" s="391">
        <f>D24-C24</f>
        <v>-24.80480480480481</v>
      </c>
      <c r="F24" s="339">
        <f>D24/C24*100</f>
        <v>53.333333333333321</v>
      </c>
      <c r="G24" s="443" t="s">
        <v>744</v>
      </c>
      <c r="H24" s="340"/>
      <c r="I24" s="289"/>
      <c r="J24" s="289"/>
      <c r="K24" s="289"/>
      <c r="L24" s="289"/>
      <c r="M24" s="289"/>
      <c r="N24" s="289"/>
      <c r="O24" s="289"/>
      <c r="P24" s="289"/>
      <c r="Q24" s="289"/>
      <c r="R24" s="289"/>
      <c r="S24" s="289"/>
      <c r="T24" s="289"/>
      <c r="U24" s="289"/>
      <c r="V24" s="289"/>
      <c r="W24" s="289"/>
      <c r="X24" s="289"/>
    </row>
    <row r="25" spans="1:24" s="341" customFormat="1" x14ac:dyDescent="0.25">
      <c r="A25" s="344"/>
      <c r="B25" s="1187" t="s">
        <v>52</v>
      </c>
      <c r="C25" s="1187"/>
      <c r="D25" s="1187"/>
      <c r="E25" s="1187"/>
      <c r="F25" s="1187"/>
      <c r="G25" s="1188"/>
      <c r="H25" s="340"/>
      <c r="I25" s="289"/>
      <c r="J25" s="289"/>
      <c r="K25" s="289"/>
      <c r="L25" s="289"/>
      <c r="M25" s="289"/>
      <c r="N25" s="289"/>
      <c r="O25" s="289"/>
      <c r="P25" s="289"/>
      <c r="Q25" s="289"/>
      <c r="R25" s="289"/>
      <c r="S25" s="289"/>
      <c r="T25" s="289"/>
      <c r="U25" s="289"/>
      <c r="V25" s="289"/>
      <c r="W25" s="289"/>
      <c r="X25" s="289"/>
    </row>
    <row r="26" spans="1:24" s="341" customFormat="1" ht="31.5" x14ac:dyDescent="0.25">
      <c r="A26" s="344"/>
      <c r="B26" s="337" t="s">
        <v>196</v>
      </c>
      <c r="C26" s="346">
        <f>'звіт ІІ кв'!E16</f>
        <v>4269.24</v>
      </c>
      <c r="D26" s="346">
        <f>'звіт ІІ кв'!I16</f>
        <v>1019.2973</v>
      </c>
      <c r="E26" s="338">
        <f>D26-C26</f>
        <v>-3249.9426999999996</v>
      </c>
      <c r="F26" s="339">
        <f>D26/C26*100</f>
        <v>23.875380629807648</v>
      </c>
      <c r="G26" s="443" t="s">
        <v>746</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344"/>
      <c r="B27" s="337" t="s">
        <v>204</v>
      </c>
      <c r="C27" s="332">
        <v>6500</v>
      </c>
      <c r="D27" s="332">
        <v>4019</v>
      </c>
      <c r="E27" s="339">
        <f>D27-C27</f>
        <v>-2481</v>
      </c>
      <c r="F27" s="339">
        <f>D27/C27*100</f>
        <v>61.830769230769235</v>
      </c>
      <c r="G27" s="443" t="s">
        <v>744</v>
      </c>
      <c r="H27" s="340"/>
      <c r="I27" s="289"/>
      <c r="J27" s="289"/>
      <c r="K27" s="289"/>
      <c r="L27" s="289"/>
      <c r="M27" s="289"/>
      <c r="N27" s="289"/>
      <c r="O27" s="289"/>
      <c r="P27" s="289"/>
      <c r="Q27" s="289"/>
      <c r="R27" s="289"/>
      <c r="S27" s="289"/>
      <c r="T27" s="289"/>
      <c r="U27" s="289"/>
      <c r="V27" s="289"/>
      <c r="W27" s="289"/>
      <c r="X27" s="289"/>
    </row>
    <row r="28" spans="1:24" s="341" customFormat="1" ht="47.25" x14ac:dyDescent="0.25">
      <c r="A28" s="344"/>
      <c r="B28" s="337" t="s">
        <v>205</v>
      </c>
      <c r="C28" s="391">
        <f>C26/C27</f>
        <v>0.65680615384615382</v>
      </c>
      <c r="D28" s="391">
        <f>D26/D27</f>
        <v>0.25361963174919133</v>
      </c>
      <c r="E28" s="514">
        <f>D28-C28</f>
        <v>-0.40318652209696249</v>
      </c>
      <c r="F28" s="339">
        <f>D28/C28*100</f>
        <v>38.614076659305724</v>
      </c>
      <c r="G28" s="443" t="s">
        <v>744</v>
      </c>
      <c r="H28" s="340"/>
      <c r="I28" s="289"/>
      <c r="J28" s="289"/>
      <c r="K28" s="289"/>
      <c r="L28" s="289"/>
      <c r="M28" s="289"/>
      <c r="N28" s="289"/>
      <c r="O28" s="289"/>
      <c r="P28" s="289"/>
      <c r="Q28" s="289"/>
      <c r="R28" s="289"/>
      <c r="S28" s="289"/>
      <c r="T28" s="289"/>
      <c r="U28" s="289"/>
      <c r="V28" s="289"/>
      <c r="W28" s="289"/>
      <c r="X28" s="289"/>
    </row>
    <row r="29" spans="1:24" s="341" customFormat="1" ht="63" x14ac:dyDescent="0.25">
      <c r="A29" s="359"/>
      <c r="B29" s="337" t="s">
        <v>206</v>
      </c>
      <c r="C29" s="330">
        <v>61.479591836734691</v>
      </c>
      <c r="D29" s="391">
        <f>D27/10500*100</f>
        <v>38.276190476190472</v>
      </c>
      <c r="E29" s="514">
        <f>D29-C29</f>
        <v>-23.20340136054422</v>
      </c>
      <c r="F29" s="339">
        <f>D29/C29*100</f>
        <v>62.258367911479937</v>
      </c>
      <c r="G29" s="443" t="s">
        <v>744</v>
      </c>
      <c r="H29" s="340"/>
      <c r="I29" s="289"/>
      <c r="J29" s="289"/>
      <c r="K29" s="289"/>
      <c r="L29" s="289"/>
      <c r="M29" s="289"/>
      <c r="N29" s="289"/>
      <c r="O29" s="289"/>
      <c r="P29" s="289"/>
      <c r="Q29" s="289"/>
      <c r="R29" s="289"/>
      <c r="S29" s="289"/>
      <c r="T29" s="289"/>
      <c r="U29" s="289"/>
      <c r="V29" s="289"/>
      <c r="W29" s="289"/>
      <c r="X29" s="289"/>
    </row>
    <row r="30" spans="1:24" s="149" customFormat="1" x14ac:dyDescent="0.25">
      <c r="A30" s="225" t="s">
        <v>247</v>
      </c>
      <c r="B30" s="1193" t="s">
        <v>248</v>
      </c>
      <c r="C30" s="1194"/>
      <c r="D30" s="1187"/>
      <c r="E30" s="1187"/>
      <c r="F30" s="1187"/>
      <c r="G30" s="1188"/>
      <c r="H30" s="319"/>
      <c r="I30" s="124"/>
      <c r="J30" s="124"/>
      <c r="K30" s="124"/>
      <c r="L30" s="124"/>
      <c r="M30" s="124"/>
      <c r="N30" s="124"/>
      <c r="O30" s="124"/>
      <c r="P30" s="124"/>
      <c r="Q30" s="124"/>
      <c r="R30" s="124"/>
      <c r="S30" s="124"/>
      <c r="T30" s="124"/>
      <c r="U30" s="124"/>
      <c r="V30" s="124"/>
      <c r="W30" s="124"/>
      <c r="X30" s="124"/>
    </row>
    <row r="31" spans="1:24" s="341" customFormat="1" ht="78.75" x14ac:dyDescent="0.25">
      <c r="A31" s="556"/>
      <c r="B31" s="347" t="s">
        <v>249</v>
      </c>
      <c r="C31" s="330">
        <f>'звіт ІІ кв'!E17</f>
        <v>550</v>
      </c>
      <c r="D31" s="346">
        <f>'звіт ІІ кв'!I17</f>
        <v>704.00199999999995</v>
      </c>
      <c r="E31" s="523">
        <f>D31-C31</f>
        <v>154.00199999999995</v>
      </c>
      <c r="F31" s="332">
        <f>D31/C31*100</f>
        <v>128.00036363636363</v>
      </c>
      <c r="G31" s="443" t="s">
        <v>748</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556"/>
      <c r="B32" s="349" t="s">
        <v>252</v>
      </c>
      <c r="C32" s="330">
        <v>50</v>
      </c>
      <c r="D32" s="391">
        <f>(D17+D22+D27)*100/78400</f>
        <v>34.664540816326529</v>
      </c>
      <c r="E32" s="391">
        <f>D32-C32</f>
        <v>-15.335459183673471</v>
      </c>
      <c r="F32" s="332">
        <f>D32/C32*100</f>
        <v>69.329081632653057</v>
      </c>
      <c r="G32" s="443" t="s">
        <v>749</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198" t="s">
        <v>54</v>
      </c>
      <c r="C33" s="1199"/>
      <c r="D33" s="1200"/>
      <c r="E33" s="1199"/>
      <c r="F33" s="1199"/>
      <c r="G33" s="1201"/>
      <c r="H33" s="340"/>
      <c r="I33" s="289"/>
      <c r="J33" s="289"/>
      <c r="K33" s="289"/>
      <c r="L33" s="289"/>
      <c r="M33" s="289"/>
      <c r="N33" s="289"/>
      <c r="O33" s="289"/>
      <c r="P33" s="289"/>
      <c r="Q33" s="289"/>
      <c r="R33" s="289"/>
      <c r="S33" s="289"/>
      <c r="T33" s="289"/>
      <c r="U33" s="289"/>
      <c r="V33" s="289"/>
      <c r="W33" s="289"/>
      <c r="X33" s="289"/>
    </row>
    <row r="34" spans="1:24" s="341" customFormat="1" ht="173.25" x14ac:dyDescent="0.25">
      <c r="A34" s="556"/>
      <c r="B34" s="349" t="s">
        <v>254</v>
      </c>
      <c r="C34" s="318">
        <v>4</v>
      </c>
      <c r="D34" s="351">
        <v>4</v>
      </c>
      <c r="E34" s="412">
        <f>D34-C34</f>
        <v>0</v>
      </c>
      <c r="F34" s="332">
        <f>D34/C34*100</f>
        <v>100</v>
      </c>
      <c r="G34" s="443" t="s">
        <v>750</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556"/>
      <c r="B35" s="349" t="s">
        <v>584</v>
      </c>
      <c r="C35" s="330">
        <v>61</v>
      </c>
      <c r="D35" s="391">
        <f>(D17+D22+D27)/78400*100</f>
        <v>34.664540816326529</v>
      </c>
      <c r="E35" s="391">
        <f>D35-C35</f>
        <v>-26.335459183673471</v>
      </c>
      <c r="F35" s="332">
        <f>D35/C35*100</f>
        <v>56.827116092338571</v>
      </c>
      <c r="G35" s="443" t="s">
        <v>751</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93" t="s">
        <v>55</v>
      </c>
      <c r="C36" s="1194"/>
      <c r="D36" s="1194"/>
      <c r="E36" s="1194"/>
      <c r="F36" s="1194"/>
      <c r="G36" s="1195"/>
      <c r="H36" s="340"/>
      <c r="I36" s="289"/>
      <c r="J36" s="289"/>
      <c r="K36" s="289"/>
      <c r="L36" s="289"/>
      <c r="M36" s="289"/>
      <c r="N36" s="289"/>
      <c r="O36" s="289"/>
      <c r="P36" s="289"/>
      <c r="Q36" s="289"/>
      <c r="R36" s="289"/>
      <c r="S36" s="289"/>
      <c r="T36" s="289"/>
      <c r="U36" s="289"/>
      <c r="V36" s="289"/>
      <c r="W36" s="289"/>
      <c r="X36" s="289"/>
    </row>
    <row r="37" spans="1:24" ht="47.25" x14ac:dyDescent="0.25">
      <c r="A37" s="158"/>
      <c r="B37" s="539" t="s">
        <v>196</v>
      </c>
      <c r="C37" s="223">
        <f>'звіт ІІ кв'!E19</f>
        <v>1150</v>
      </c>
      <c r="D37" s="223">
        <f>'звіт ІІ кв'!I19</f>
        <v>251.65</v>
      </c>
      <c r="E37" s="222">
        <f>D37-C37</f>
        <v>-898.35</v>
      </c>
      <c r="F37" s="114">
        <f>D37/C37*100</f>
        <v>21.882608695652177</v>
      </c>
      <c r="G37" s="122" t="s">
        <v>752</v>
      </c>
    </row>
    <row r="38" spans="1:24" ht="35.25" customHeight="1" x14ac:dyDescent="0.25">
      <c r="A38" s="137"/>
      <c r="B38" s="539" t="s">
        <v>207</v>
      </c>
      <c r="C38" s="117">
        <v>3</v>
      </c>
      <c r="D38" s="117">
        <v>2</v>
      </c>
      <c r="E38" s="114">
        <f>D38-C38</f>
        <v>-1</v>
      </c>
      <c r="F38" s="114">
        <f>D38/C38*100</f>
        <v>66.666666666666657</v>
      </c>
      <c r="G38" s="442" t="s">
        <v>751</v>
      </c>
    </row>
    <row r="39" spans="1:24" ht="47.25" x14ac:dyDescent="0.25">
      <c r="A39" s="137"/>
      <c r="B39" s="539" t="s">
        <v>208</v>
      </c>
      <c r="C39" s="223">
        <f>C37/C38</f>
        <v>383.33333333333331</v>
      </c>
      <c r="D39" s="223">
        <f>D37/D38</f>
        <v>125.825</v>
      </c>
      <c r="E39" s="222">
        <f>D39-C39</f>
        <v>-257.50833333333333</v>
      </c>
      <c r="F39" s="114">
        <f>D39/C39*100</f>
        <v>32.823913043478264</v>
      </c>
      <c r="G39" s="122" t="s">
        <v>745</v>
      </c>
    </row>
    <row r="40" spans="1:24" ht="78.75" x14ac:dyDescent="0.25">
      <c r="A40" s="268"/>
      <c r="B40" s="539" t="s">
        <v>209</v>
      </c>
      <c r="C40" s="284">
        <v>45</v>
      </c>
      <c r="D40" s="223">
        <f>3238/78400*100</f>
        <v>4.1301020408163271</v>
      </c>
      <c r="E40" s="222">
        <f>D40-C40</f>
        <v>-40.869897959183675</v>
      </c>
      <c r="F40" s="114">
        <f>D40/C40*100</f>
        <v>9.1780045351473944</v>
      </c>
      <c r="G40" s="122" t="s">
        <v>753</v>
      </c>
    </row>
    <row r="41" spans="1:24" x14ac:dyDescent="0.25">
      <c r="A41" s="137" t="s">
        <v>256</v>
      </c>
      <c r="B41" s="1136" t="s">
        <v>56</v>
      </c>
      <c r="C41" s="1137"/>
      <c r="D41" s="1137"/>
      <c r="E41" s="1137"/>
      <c r="F41" s="1137"/>
      <c r="G41" s="1138"/>
    </row>
    <row r="42" spans="1:24" ht="94.5" x14ac:dyDescent="0.25">
      <c r="A42" s="158"/>
      <c r="B42" s="557" t="s">
        <v>257</v>
      </c>
      <c r="C42" s="203">
        <f>'звіт ІІ кв'!E20</f>
        <v>1950.8</v>
      </c>
      <c r="D42" s="203">
        <f>'звіт ІІ кв'!I20</f>
        <v>520.22299999999996</v>
      </c>
      <c r="E42" s="136">
        <f>D42-C42</f>
        <v>-1430.577</v>
      </c>
      <c r="F42" s="114">
        <f>D42/C42*100</f>
        <v>26.667162189870819</v>
      </c>
      <c r="G42" s="442" t="s">
        <v>754</v>
      </c>
      <c r="H42" s="558"/>
    </row>
    <row r="43" spans="1:24" ht="47.25" x14ac:dyDescent="0.25">
      <c r="A43" s="137"/>
      <c r="B43" s="266" t="s">
        <v>258</v>
      </c>
      <c r="C43" s="191">
        <v>2430</v>
      </c>
      <c r="D43" s="559">
        <v>100</v>
      </c>
      <c r="E43" s="136">
        <f>D43-C43</f>
        <v>-2330</v>
      </c>
      <c r="F43" s="114">
        <f>D43/C43*100</f>
        <v>4.1152263374485596</v>
      </c>
      <c r="G43" s="442" t="s">
        <v>756</v>
      </c>
      <c r="H43" s="558"/>
    </row>
    <row r="44" spans="1:24" ht="94.5" x14ac:dyDescent="0.25">
      <c r="A44" s="137"/>
      <c r="B44" s="266" t="s">
        <v>259</v>
      </c>
      <c r="C44" s="203">
        <f>C42/C43</f>
        <v>0.80279835390946497</v>
      </c>
      <c r="D44" s="182">
        <f>83.616/D43</f>
        <v>0.83616000000000001</v>
      </c>
      <c r="E44" s="145">
        <f>D44-C44</f>
        <v>3.3361646090535046E-2</v>
      </c>
      <c r="F44" s="114">
        <f>D44/C44*100</f>
        <v>104.15566946893584</v>
      </c>
      <c r="G44" s="122" t="s">
        <v>755</v>
      </c>
      <c r="H44" s="558"/>
    </row>
    <row r="45" spans="1:24" ht="63" x14ac:dyDescent="0.25">
      <c r="A45" s="268"/>
      <c r="B45" s="266" t="s">
        <v>414</v>
      </c>
      <c r="C45" s="203">
        <v>7.3</v>
      </c>
      <c r="D45" s="560">
        <f>D43*100/33300</f>
        <v>0.3003003003003003</v>
      </c>
      <c r="E45" s="145">
        <f>D45-C45</f>
        <v>-6.9996996996996996</v>
      </c>
      <c r="F45" s="114">
        <f>D45/C45*100</f>
        <v>4.1137027438397302</v>
      </c>
      <c r="G45" s="442" t="s">
        <v>756</v>
      </c>
      <c r="H45" s="558"/>
    </row>
    <row r="46" spans="1:24" s="341" customFormat="1" ht="32.25" customHeight="1" x14ac:dyDescent="0.25">
      <c r="A46" s="410" t="s">
        <v>261</v>
      </c>
      <c r="B46" s="1186" t="s">
        <v>57</v>
      </c>
      <c r="C46" s="1187"/>
      <c r="D46" s="1187"/>
      <c r="E46" s="1187"/>
      <c r="F46" s="1187"/>
      <c r="G46" s="1188"/>
      <c r="H46" s="340"/>
      <c r="I46" s="289"/>
      <c r="J46" s="289"/>
      <c r="K46" s="289"/>
      <c r="L46" s="289"/>
      <c r="M46" s="289"/>
      <c r="N46" s="289"/>
      <c r="O46" s="289"/>
      <c r="P46" s="289"/>
      <c r="Q46" s="289"/>
      <c r="R46" s="289"/>
      <c r="S46" s="289"/>
      <c r="T46" s="289"/>
      <c r="U46" s="289"/>
      <c r="V46" s="289"/>
      <c r="W46" s="289"/>
      <c r="X46" s="289"/>
    </row>
    <row r="47" spans="1:24" ht="78.75" x14ac:dyDescent="0.25">
      <c r="A47" s="158"/>
      <c r="B47" s="266" t="s">
        <v>257</v>
      </c>
      <c r="C47" s="203">
        <f>'звіт ІІ кв'!E21</f>
        <v>635</v>
      </c>
      <c r="D47" s="219">
        <f>'звіт ІІ кв'!I21</f>
        <v>202.12226000000001</v>
      </c>
      <c r="E47" s="136">
        <f>D47-C47</f>
        <v>-432.87774000000002</v>
      </c>
      <c r="F47" s="114">
        <f>D47/C47*100</f>
        <v>31.830277165354332</v>
      </c>
      <c r="G47" s="442" t="s">
        <v>757</v>
      </c>
    </row>
    <row r="48" spans="1:24" ht="94.5" x14ac:dyDescent="0.25">
      <c r="A48" s="137"/>
      <c r="B48" s="266" t="s">
        <v>262</v>
      </c>
      <c r="C48" s="191">
        <v>195</v>
      </c>
      <c r="D48" s="117">
        <v>111</v>
      </c>
      <c r="E48" s="136">
        <f>D48-C48</f>
        <v>-84</v>
      </c>
      <c r="F48" s="114">
        <f>D48/C48*100</f>
        <v>56.92307692307692</v>
      </c>
      <c r="G48" s="122" t="s">
        <v>722</v>
      </c>
      <c r="H48" s="558"/>
    </row>
    <row r="49" spans="1:24" ht="63" x14ac:dyDescent="0.25">
      <c r="A49" s="137"/>
      <c r="B49" s="266" t="s">
        <v>263</v>
      </c>
      <c r="C49" s="203">
        <f>C47/C48</f>
        <v>3.2564102564102564</v>
      </c>
      <c r="D49" s="219">
        <f>D47/D48</f>
        <v>1.8209212612612613</v>
      </c>
      <c r="E49" s="145">
        <f>D49-C49</f>
        <v>-1.4354889951489951</v>
      </c>
      <c r="F49" s="114">
        <f>D49/C49*100</f>
        <v>55.918054479676528</v>
      </c>
      <c r="G49" s="122" t="s">
        <v>723</v>
      </c>
    </row>
    <row r="50" spans="1:24" ht="78.75" x14ac:dyDescent="0.25">
      <c r="A50" s="268"/>
      <c r="B50" s="266" t="s">
        <v>580</v>
      </c>
      <c r="C50" s="203">
        <v>65</v>
      </c>
      <c r="D50" s="148">
        <f>D48/122*100</f>
        <v>90.983606557377044</v>
      </c>
      <c r="E50" s="145">
        <f>D50-C50</f>
        <v>25.983606557377044</v>
      </c>
      <c r="F50" s="114">
        <f>D50/C50*100</f>
        <v>139.9747793190416</v>
      </c>
      <c r="G50" s="442" t="s">
        <v>686</v>
      </c>
      <c r="H50" s="558"/>
    </row>
    <row r="51" spans="1:24" s="341" customFormat="1" ht="36.75" customHeight="1" x14ac:dyDescent="0.25">
      <c r="A51" s="137" t="s">
        <v>265</v>
      </c>
      <c r="B51" s="1136" t="s">
        <v>415</v>
      </c>
      <c r="C51" s="1137"/>
      <c r="D51" s="1137"/>
      <c r="E51" s="1137"/>
      <c r="F51" s="1137"/>
      <c r="G51" s="1138"/>
      <c r="H51" s="340"/>
      <c r="I51" s="289"/>
      <c r="J51" s="289"/>
      <c r="K51" s="289"/>
      <c r="L51" s="289"/>
      <c r="M51" s="289"/>
      <c r="N51" s="289"/>
      <c r="O51" s="289"/>
      <c r="P51" s="289"/>
      <c r="Q51" s="289"/>
      <c r="R51" s="289"/>
      <c r="S51" s="289"/>
      <c r="T51" s="289"/>
      <c r="U51" s="289"/>
      <c r="V51" s="289"/>
      <c r="W51" s="289"/>
      <c r="X51" s="289"/>
    </row>
    <row r="52" spans="1:24" ht="63" x14ac:dyDescent="0.25">
      <c r="A52" s="158"/>
      <c r="B52" s="445" t="s">
        <v>196</v>
      </c>
      <c r="C52" s="203">
        <f>'звіт ІІ кв'!G24</f>
        <v>292.90000000000003</v>
      </c>
      <c r="D52" s="284">
        <f>'звіт ІІ кв'!K24</f>
        <v>173.78068999999999</v>
      </c>
      <c r="E52" s="203">
        <f>D52-C52</f>
        <v>-119.11931000000004</v>
      </c>
      <c r="F52" s="192">
        <f>D52/C52*100</f>
        <v>59.33106520996926</v>
      </c>
      <c r="G52" s="193" t="s">
        <v>758</v>
      </c>
      <c r="H52" s="562"/>
      <c r="I52" s="265"/>
    </row>
    <row r="53" spans="1:24" ht="47.25" x14ac:dyDescent="0.25">
      <c r="A53" s="137"/>
      <c r="B53" s="267" t="s">
        <v>416</v>
      </c>
      <c r="C53" s="191">
        <v>5</v>
      </c>
      <c r="D53" s="191">
        <v>8</v>
      </c>
      <c r="E53" s="191">
        <f>D53-C53</f>
        <v>3</v>
      </c>
      <c r="F53" s="191">
        <f>D53/C53*100</f>
        <v>160</v>
      </c>
      <c r="G53" s="193" t="s">
        <v>400</v>
      </c>
      <c r="H53" s="562"/>
      <c r="I53" s="265"/>
    </row>
    <row r="54" spans="1:24" ht="31.5" x14ac:dyDescent="0.25">
      <c r="A54" s="137"/>
      <c r="B54" s="267" t="s">
        <v>417</v>
      </c>
      <c r="C54" s="203">
        <f>C52/C53</f>
        <v>58.580000000000005</v>
      </c>
      <c r="D54" s="203">
        <f>D52/D53</f>
        <v>21.722586249999999</v>
      </c>
      <c r="E54" s="203">
        <f>D54-C54</f>
        <v>-36.857413750000006</v>
      </c>
      <c r="F54" s="147">
        <f>D54/C54*100</f>
        <v>37.081915756230792</v>
      </c>
      <c r="G54" s="193" t="s">
        <v>714</v>
      </c>
      <c r="H54" s="562"/>
      <c r="I54" s="265"/>
    </row>
    <row r="55" spans="1:24" ht="47.25" x14ac:dyDescent="0.25">
      <c r="A55" s="137"/>
      <c r="B55" s="267" t="s">
        <v>418</v>
      </c>
      <c r="C55" s="191">
        <v>8</v>
      </c>
      <c r="D55" s="191">
        <v>3</v>
      </c>
      <c r="E55" s="191">
        <f>D55-C55</f>
        <v>-5</v>
      </c>
      <c r="F55" s="191">
        <f>D55/C55*100</f>
        <v>37.5</v>
      </c>
      <c r="G55" s="193" t="s">
        <v>400</v>
      </c>
      <c r="H55" s="562"/>
      <c r="I55" s="265"/>
    </row>
    <row r="56" spans="1:24" s="341" customFormat="1" x14ac:dyDescent="0.25">
      <c r="A56" s="137"/>
      <c r="B56" s="529"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ht="47.25" x14ac:dyDescent="0.25">
      <c r="A57" s="344"/>
      <c r="B57" s="363" t="s">
        <v>420</v>
      </c>
      <c r="C57" s="108">
        <f>'звіт ІІ кв'!E26</f>
        <v>3623.29</v>
      </c>
      <c r="D57" s="330">
        <f>'звіт ІІ кв'!I26</f>
        <v>1954.04206</v>
      </c>
      <c r="E57" s="108">
        <f t="shared" ref="E57:E63" si="0">D57-C57</f>
        <v>-1669.24794</v>
      </c>
      <c r="F57" s="360">
        <f t="shared" ref="F57:F63" si="1">D57/C57*100</f>
        <v>53.930048657435648</v>
      </c>
      <c r="G57" s="193" t="s">
        <v>761</v>
      </c>
      <c r="H57" s="340"/>
      <c r="I57" s="362"/>
      <c r="J57" s="289"/>
      <c r="K57" s="289"/>
      <c r="L57" s="289"/>
      <c r="M57" s="289"/>
      <c r="N57" s="289"/>
      <c r="O57" s="289"/>
      <c r="P57" s="289"/>
      <c r="Q57" s="289"/>
      <c r="R57" s="289"/>
      <c r="S57" s="289"/>
      <c r="T57" s="289"/>
      <c r="U57" s="289"/>
      <c r="V57" s="289"/>
      <c r="W57" s="289"/>
      <c r="X57" s="289"/>
    </row>
    <row r="58" spans="1:24" ht="31.5" x14ac:dyDescent="0.25">
      <c r="A58" s="137"/>
      <c r="B58" s="267" t="s">
        <v>421</v>
      </c>
      <c r="C58" s="191">
        <v>1650</v>
      </c>
      <c r="D58" s="191">
        <v>1143</v>
      </c>
      <c r="E58" s="284">
        <f t="shared" si="0"/>
        <v>-507</v>
      </c>
      <c r="F58" s="192">
        <f t="shared" si="1"/>
        <v>69.27272727272728</v>
      </c>
      <c r="G58" s="193" t="s">
        <v>762</v>
      </c>
      <c r="H58" s="558"/>
      <c r="I58" s="265"/>
    </row>
    <row r="59" spans="1:24" ht="31.5" x14ac:dyDescent="0.25">
      <c r="A59" s="137"/>
      <c r="B59" s="267" t="s">
        <v>422</v>
      </c>
      <c r="C59" s="191">
        <v>1400</v>
      </c>
      <c r="D59" s="191">
        <v>621</v>
      </c>
      <c r="E59" s="191">
        <f t="shared" si="0"/>
        <v>-779</v>
      </c>
      <c r="F59" s="192">
        <f t="shared" si="1"/>
        <v>44.357142857142854</v>
      </c>
      <c r="G59" s="193" t="s">
        <v>763</v>
      </c>
      <c r="H59" s="558"/>
      <c r="I59" s="265"/>
    </row>
    <row r="60" spans="1:24" ht="110.25" x14ac:dyDescent="0.25">
      <c r="A60" s="137"/>
      <c r="B60" s="267" t="s">
        <v>423</v>
      </c>
      <c r="C60" s="191">
        <v>0</v>
      </c>
      <c r="D60" s="191">
        <v>340</v>
      </c>
      <c r="E60" s="526">
        <f t="shared" si="0"/>
        <v>340</v>
      </c>
      <c r="F60" s="192">
        <v>435</v>
      </c>
      <c r="G60" s="193" t="s">
        <v>716</v>
      </c>
      <c r="H60" s="558"/>
      <c r="I60" s="265"/>
    </row>
    <row r="61" spans="1:24" ht="94.5" x14ac:dyDescent="0.25">
      <c r="A61" s="137"/>
      <c r="B61" s="267" t="s">
        <v>424</v>
      </c>
      <c r="C61" s="191">
        <v>250</v>
      </c>
      <c r="D61" s="191">
        <v>0</v>
      </c>
      <c r="E61" s="191">
        <f t="shared" si="0"/>
        <v>-250</v>
      </c>
      <c r="F61" s="192">
        <f t="shared" si="1"/>
        <v>0</v>
      </c>
      <c r="G61" s="193" t="s">
        <v>687</v>
      </c>
      <c r="H61" s="558"/>
      <c r="I61" s="265"/>
    </row>
    <row r="62" spans="1:24" ht="78.75" x14ac:dyDescent="0.25">
      <c r="A62" s="137"/>
      <c r="B62" s="267" t="s">
        <v>425</v>
      </c>
      <c r="C62" s="203">
        <f>C57/C58</f>
        <v>2.1959333333333335</v>
      </c>
      <c r="D62" s="203">
        <f>D57/961</f>
        <v>2.033342414151925</v>
      </c>
      <c r="E62" s="203">
        <f t="shared" si="0"/>
        <v>-0.16259091918140856</v>
      </c>
      <c r="F62" s="192">
        <f t="shared" si="1"/>
        <v>92.595817153765665</v>
      </c>
      <c r="G62" s="193" t="s">
        <v>715</v>
      </c>
      <c r="I62" s="265"/>
    </row>
    <row r="63" spans="1:24" ht="78.75" x14ac:dyDescent="0.25">
      <c r="A63" s="268"/>
      <c r="B63" s="267" t="s">
        <v>426</v>
      </c>
      <c r="C63" s="203">
        <v>35</v>
      </c>
      <c r="D63" s="203">
        <f>D58/5782*100</f>
        <v>19.768246281563474</v>
      </c>
      <c r="E63" s="203">
        <f t="shared" si="0"/>
        <v>-15.231753718436526</v>
      </c>
      <c r="F63" s="192">
        <f t="shared" si="1"/>
        <v>56.480703661609923</v>
      </c>
      <c r="G63" s="193" t="s">
        <v>764</v>
      </c>
      <c r="H63" s="558"/>
      <c r="I63" s="265"/>
    </row>
    <row r="64" spans="1:24" s="341" customFormat="1" x14ac:dyDescent="0.25">
      <c r="A64" s="344" t="s">
        <v>427</v>
      </c>
      <c r="B64" s="1186" t="s">
        <v>430</v>
      </c>
      <c r="C64" s="1187"/>
      <c r="D64" s="1187"/>
      <c r="E64" s="1187"/>
      <c r="F64" s="1187"/>
      <c r="G64" s="1188"/>
      <c r="H64" s="340"/>
      <c r="I64" s="289"/>
      <c r="J64" s="289"/>
      <c r="K64" s="289"/>
      <c r="L64" s="289"/>
      <c r="M64" s="289"/>
      <c r="N64" s="289"/>
      <c r="O64" s="289"/>
      <c r="P64" s="289"/>
      <c r="Q64" s="289"/>
      <c r="R64" s="289"/>
      <c r="S64" s="289"/>
      <c r="T64" s="289"/>
      <c r="U64" s="289"/>
      <c r="V64" s="289"/>
      <c r="W64" s="289"/>
      <c r="X64" s="289"/>
    </row>
    <row r="65" spans="1:24" s="341" customFormat="1" ht="47.25" x14ac:dyDescent="0.25">
      <c r="A65" s="352"/>
      <c r="B65" s="353" t="s">
        <v>257</v>
      </c>
      <c r="C65" s="108">
        <f>'звіт ІІ кв'!E27</f>
        <v>4838.03</v>
      </c>
      <c r="D65" s="346">
        <f>'звіт ІІ кв'!I27</f>
        <v>2624.66644</v>
      </c>
      <c r="E65" s="364">
        <f>D65-C65</f>
        <v>-2213.3635599999998</v>
      </c>
      <c r="F65" s="339">
        <f>D65/C65*100</f>
        <v>54.250726845430883</v>
      </c>
      <c r="G65" s="193" t="s">
        <v>765</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ht="31.5" x14ac:dyDescent="0.25">
      <c r="A67" s="137"/>
      <c r="B67" s="266" t="s">
        <v>434</v>
      </c>
      <c r="C67" s="191">
        <v>37500</v>
      </c>
      <c r="D67" s="117">
        <v>18944</v>
      </c>
      <c r="E67" s="186">
        <f>D67-C67</f>
        <v>-18556</v>
      </c>
      <c r="F67" s="114">
        <f>D67/C67*100</f>
        <v>50.517333333333333</v>
      </c>
      <c r="G67" s="193" t="s">
        <v>766</v>
      </c>
      <c r="H67" s="562"/>
    </row>
    <row r="68" spans="1:24" ht="47.25" x14ac:dyDescent="0.25">
      <c r="A68" s="137"/>
      <c r="B68" s="540" t="s">
        <v>73</v>
      </c>
      <c r="C68" s="275"/>
      <c r="D68" s="275"/>
      <c r="E68" s="275"/>
      <c r="F68" s="275"/>
      <c r="G68" s="542"/>
    </row>
    <row r="69" spans="1:24" ht="78.75" x14ac:dyDescent="0.25">
      <c r="A69" s="137"/>
      <c r="B69" s="428" t="s">
        <v>428</v>
      </c>
      <c r="C69" s="191">
        <v>300</v>
      </c>
      <c r="D69" s="117">
        <v>156</v>
      </c>
      <c r="E69" s="186">
        <f>D69-C69</f>
        <v>-144</v>
      </c>
      <c r="F69" s="114">
        <f>D69/C69*100</f>
        <v>52</v>
      </c>
      <c r="G69" s="193" t="s">
        <v>767</v>
      </c>
      <c r="H69" s="562"/>
    </row>
    <row r="70" spans="1:24" ht="63" x14ac:dyDescent="0.25">
      <c r="A70" s="137"/>
      <c r="B70" s="269" t="s">
        <v>429</v>
      </c>
      <c r="C70" s="330">
        <v>5.72</v>
      </c>
      <c r="D70" s="391">
        <f>'звіт ІІ кв'!I29/'показники ІІ кв'!D69</f>
        <v>4.6559999999999997</v>
      </c>
      <c r="E70" s="417">
        <f>D70-C70</f>
        <v>-1.0640000000000001</v>
      </c>
      <c r="F70" s="114">
        <f>D70/C70*100</f>
        <v>81.3986013986014</v>
      </c>
      <c r="G70" s="193" t="s">
        <v>768</v>
      </c>
    </row>
    <row r="71" spans="1:24" ht="47.25" x14ac:dyDescent="0.25">
      <c r="A71" s="137"/>
      <c r="B71" s="529" t="s">
        <v>74</v>
      </c>
      <c r="C71" s="368"/>
      <c r="D71" s="368"/>
      <c r="E71" s="275"/>
      <c r="F71" s="275"/>
      <c r="G71" s="533"/>
    </row>
    <row r="72" spans="1:24" ht="94.5" x14ac:dyDescent="0.25">
      <c r="A72" s="137"/>
      <c r="B72" s="563" t="s">
        <v>431</v>
      </c>
      <c r="C72" s="191">
        <v>300</v>
      </c>
      <c r="D72" s="143">
        <v>99</v>
      </c>
      <c r="E72" s="236">
        <f>D72-C72</f>
        <v>-201</v>
      </c>
      <c r="F72" s="143">
        <f>D72/C72*100</f>
        <v>33</v>
      </c>
      <c r="G72" s="122" t="s">
        <v>725</v>
      </c>
      <c r="H72" s="558"/>
    </row>
    <row r="73" spans="1:24" ht="173.25" x14ac:dyDescent="0.25">
      <c r="A73" s="268"/>
      <c r="B73" s="428" t="s">
        <v>579</v>
      </c>
      <c r="C73" s="191">
        <v>2.5</v>
      </c>
      <c r="D73" s="161" t="s">
        <v>653</v>
      </c>
      <c r="E73" s="148" t="s">
        <v>653</v>
      </c>
      <c r="F73" s="143" t="s">
        <v>653</v>
      </c>
      <c r="G73" s="122" t="s">
        <v>724</v>
      </c>
      <c r="H73" s="558"/>
    </row>
    <row r="74" spans="1:24" ht="39" customHeight="1" x14ac:dyDescent="0.25">
      <c r="A74" s="137" t="s">
        <v>71</v>
      </c>
      <c r="B74" s="1170" t="s">
        <v>432</v>
      </c>
      <c r="C74" s="1171"/>
      <c r="D74" s="1171"/>
      <c r="E74" s="1171"/>
      <c r="F74" s="1171"/>
      <c r="G74" s="1172"/>
    </row>
    <row r="75" spans="1:24" s="341" customFormat="1" ht="31.5" x14ac:dyDescent="0.25">
      <c r="A75" s="352"/>
      <c r="B75" s="356" t="s">
        <v>249</v>
      </c>
      <c r="C75" s="330">
        <f>'звіт ІІ кв'!E31</f>
        <v>300</v>
      </c>
      <c r="D75" s="365">
        <f>'звіт ІІ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266" t="s">
        <v>436</v>
      </c>
      <c r="C76" s="318">
        <v>120</v>
      </c>
      <c r="D76" s="332">
        <v>0</v>
      </c>
      <c r="E76" s="236">
        <f>D76-C76</f>
        <v>-120</v>
      </c>
      <c r="F76" s="143">
        <f>D76/C76*100</f>
        <v>0</v>
      </c>
      <c r="G76" s="326" t="s">
        <v>689</v>
      </c>
    </row>
    <row r="77" spans="1:24" ht="31.5" x14ac:dyDescent="0.25">
      <c r="A77" s="137"/>
      <c r="B77" s="266" t="s">
        <v>293</v>
      </c>
      <c r="C77" s="330">
        <f>C75/C76</f>
        <v>2.5</v>
      </c>
      <c r="D77" s="365">
        <v>0</v>
      </c>
      <c r="E77" s="219">
        <f>D77-C77</f>
        <v>-2.5</v>
      </c>
      <c r="F77" s="143">
        <f>D77/C77*100</f>
        <v>0</v>
      </c>
      <c r="G77" s="326" t="s">
        <v>690</v>
      </c>
    </row>
    <row r="78" spans="1:24" ht="47.25" x14ac:dyDescent="0.25">
      <c r="A78" s="268"/>
      <c r="B78" s="266" t="s">
        <v>435</v>
      </c>
      <c r="C78" s="318">
        <v>80</v>
      </c>
      <c r="D78" s="365" t="s">
        <v>653</v>
      </c>
      <c r="E78" s="236" t="s">
        <v>653</v>
      </c>
      <c r="F78" s="143" t="s">
        <v>653</v>
      </c>
      <c r="G78" s="326" t="s">
        <v>690</v>
      </c>
    </row>
    <row r="79" spans="1:24" s="341" customFormat="1" x14ac:dyDescent="0.25">
      <c r="A79" s="378" t="s">
        <v>78</v>
      </c>
      <c r="B79" s="1217" t="s">
        <v>77</v>
      </c>
      <c r="C79" s="1218"/>
      <c r="D79" s="1218"/>
      <c r="E79" s="1218"/>
      <c r="F79" s="1218"/>
      <c r="G79" s="1219"/>
      <c r="H79" s="340"/>
      <c r="I79" s="289"/>
      <c r="J79" s="289"/>
      <c r="K79" s="289"/>
      <c r="L79" s="289"/>
      <c r="M79" s="289"/>
      <c r="N79" s="289"/>
      <c r="O79" s="289"/>
      <c r="P79" s="289"/>
      <c r="Q79" s="289"/>
      <c r="R79" s="289"/>
      <c r="S79" s="289"/>
      <c r="T79" s="289"/>
      <c r="U79" s="289"/>
      <c r="V79" s="289"/>
      <c r="W79" s="289"/>
      <c r="X79" s="289"/>
    </row>
    <row r="80" spans="1:24" ht="23.25" customHeight="1" x14ac:dyDescent="0.25">
      <c r="A80" s="272" t="s">
        <v>296</v>
      </c>
      <c r="B80" s="1136" t="s">
        <v>433</v>
      </c>
      <c r="C80" s="1137"/>
      <c r="D80" s="1137"/>
      <c r="E80" s="1137"/>
      <c r="F80" s="1137"/>
      <c r="G80" s="1138"/>
    </row>
    <row r="81" spans="1:24" ht="78.75" x14ac:dyDescent="0.25">
      <c r="A81" s="272"/>
      <c r="B81" s="266" t="s">
        <v>439</v>
      </c>
      <c r="C81" s="284">
        <f>'звіт ІІ кв'!E33</f>
        <v>6080.38</v>
      </c>
      <c r="D81" s="284">
        <f>'звіт ІІ кв'!I33</f>
        <v>765.78710000000001</v>
      </c>
      <c r="E81" s="284">
        <f>D81-C81</f>
        <v>-5314.5928999999996</v>
      </c>
      <c r="F81" s="192">
        <f>D81/C81*100</f>
        <v>12.594395416075969</v>
      </c>
      <c r="G81" s="193" t="s">
        <v>770</v>
      </c>
    </row>
    <row r="82" spans="1:24" s="548" customFormat="1" ht="173.25" x14ac:dyDescent="0.25">
      <c r="A82" s="274"/>
      <c r="B82" s="552" t="s">
        <v>726</v>
      </c>
      <c r="C82" s="191">
        <v>140000</v>
      </c>
      <c r="D82" s="191">
        <v>94796</v>
      </c>
      <c r="E82" s="191">
        <f t="shared" ref="E82:E96" si="2">D82-C82</f>
        <v>-45204</v>
      </c>
      <c r="F82" s="192">
        <f t="shared" ref="F82:F96" si="3">D82/C82*100</f>
        <v>67.71142857142857</v>
      </c>
      <c r="G82" s="442" t="s">
        <v>769</v>
      </c>
      <c r="H82" s="564"/>
      <c r="I82" s="547"/>
      <c r="J82" s="547"/>
      <c r="K82" s="547"/>
      <c r="L82" s="547"/>
      <c r="M82" s="547"/>
      <c r="N82" s="547"/>
      <c r="O82" s="547"/>
      <c r="P82" s="547"/>
      <c r="Q82" s="547"/>
      <c r="R82" s="547"/>
      <c r="S82" s="547"/>
      <c r="T82" s="547"/>
      <c r="U82" s="547"/>
      <c r="V82" s="547"/>
      <c r="W82" s="547"/>
      <c r="X82" s="547"/>
    </row>
    <row r="83" spans="1:24" s="548" customFormat="1" ht="141.75" x14ac:dyDescent="0.25">
      <c r="A83" s="274"/>
      <c r="B83" s="552" t="s">
        <v>727</v>
      </c>
      <c r="C83" s="191">
        <v>3360</v>
      </c>
      <c r="D83" s="191">
        <v>1560</v>
      </c>
      <c r="E83" s="191">
        <f t="shared" si="2"/>
        <v>-1800</v>
      </c>
      <c r="F83" s="192">
        <f t="shared" si="3"/>
        <v>46.428571428571431</v>
      </c>
      <c r="G83" s="442" t="s">
        <v>728</v>
      </c>
      <c r="H83" s="564"/>
      <c r="I83" s="547"/>
      <c r="J83" s="547"/>
      <c r="K83" s="547"/>
      <c r="L83" s="547"/>
      <c r="M83" s="547"/>
      <c r="N83" s="547"/>
      <c r="O83" s="547"/>
      <c r="P83" s="547"/>
      <c r="Q83" s="547"/>
      <c r="R83" s="547"/>
      <c r="S83" s="547"/>
      <c r="T83" s="547"/>
      <c r="U83" s="547"/>
      <c r="V83" s="547"/>
      <c r="W83" s="547"/>
      <c r="X83" s="547"/>
    </row>
    <row r="84" spans="1:24" s="548" customFormat="1" ht="126" x14ac:dyDescent="0.25">
      <c r="A84" s="274"/>
      <c r="B84" s="552" t="s">
        <v>772</v>
      </c>
      <c r="C84" s="203">
        <f>C81/C83</f>
        <v>1.8096369047619048</v>
      </c>
      <c r="D84" s="203" t="s">
        <v>653</v>
      </c>
      <c r="E84" s="203" t="s">
        <v>653</v>
      </c>
      <c r="F84" s="192" t="s">
        <v>653</v>
      </c>
      <c r="G84" s="442" t="s">
        <v>771</v>
      </c>
      <c r="H84" s="546"/>
      <c r="I84" s="547"/>
      <c r="J84" s="547"/>
      <c r="K84" s="547"/>
      <c r="L84" s="547"/>
      <c r="M84" s="547"/>
      <c r="N84" s="547"/>
      <c r="O84" s="547"/>
      <c r="P84" s="547"/>
      <c r="Q84" s="547"/>
      <c r="R84" s="547"/>
      <c r="S84" s="547"/>
      <c r="T84" s="547"/>
      <c r="U84" s="547"/>
      <c r="V84" s="547"/>
      <c r="W84" s="547"/>
      <c r="X84" s="547"/>
    </row>
    <row r="85" spans="1:24" ht="94.5" x14ac:dyDescent="0.25">
      <c r="A85" s="274"/>
      <c r="B85" s="270" t="s">
        <v>441</v>
      </c>
      <c r="C85" s="330">
        <v>2.4</v>
      </c>
      <c r="D85" s="330">
        <f>D83/D82*100</f>
        <v>1.6456390565002743</v>
      </c>
      <c r="E85" s="203">
        <f t="shared" si="2"/>
        <v>-0.7543609434997256</v>
      </c>
      <c r="F85" s="192">
        <f t="shared" si="3"/>
        <v>68.56829402084476</v>
      </c>
      <c r="G85" s="122" t="s">
        <v>729</v>
      </c>
      <c r="H85" s="355"/>
    </row>
    <row r="86" spans="1:24" s="548" customFormat="1" ht="63" x14ac:dyDescent="0.25">
      <c r="A86" s="273"/>
      <c r="B86" s="552" t="s">
        <v>773</v>
      </c>
      <c r="C86" s="191">
        <v>73.7</v>
      </c>
      <c r="D86" s="147">
        <f>D120*100/23100</f>
        <v>57.303030303030305</v>
      </c>
      <c r="E86" s="147">
        <f t="shared" si="2"/>
        <v>-16.396969696969698</v>
      </c>
      <c r="F86" s="192">
        <f t="shared" si="3"/>
        <v>77.751737181859298</v>
      </c>
      <c r="G86" s="442" t="s">
        <v>774</v>
      </c>
      <c r="H86" s="564"/>
      <c r="I86" s="547"/>
      <c r="J86" s="547"/>
      <c r="K86" s="547"/>
      <c r="L86" s="547"/>
      <c r="M86" s="547"/>
      <c r="N86" s="547"/>
      <c r="O86" s="547"/>
      <c r="P86" s="547"/>
      <c r="Q86" s="547"/>
      <c r="R86" s="547"/>
      <c r="S86" s="547"/>
      <c r="T86" s="547"/>
      <c r="U86" s="547"/>
      <c r="V86" s="547"/>
      <c r="W86" s="547"/>
      <c r="X86" s="547"/>
    </row>
    <row r="87" spans="1:24" s="198" customFormat="1" ht="31.5" customHeight="1" x14ac:dyDescent="0.25">
      <c r="A87" s="274" t="s">
        <v>297</v>
      </c>
      <c r="B87" s="1136" t="s">
        <v>443</v>
      </c>
      <c r="C87" s="1137"/>
      <c r="D87" s="1137"/>
      <c r="E87" s="1137"/>
      <c r="F87" s="1137"/>
      <c r="G87" s="1138"/>
      <c r="H87" s="319"/>
      <c r="I87" s="124"/>
      <c r="J87" s="124"/>
      <c r="K87" s="124"/>
      <c r="L87" s="124"/>
      <c r="M87" s="124"/>
      <c r="N87" s="124"/>
      <c r="O87" s="124"/>
      <c r="P87" s="124"/>
      <c r="Q87" s="124"/>
      <c r="R87" s="124"/>
      <c r="S87" s="124"/>
      <c r="T87" s="124"/>
      <c r="U87" s="124"/>
      <c r="V87" s="124"/>
      <c r="W87" s="124"/>
      <c r="X87" s="124"/>
    </row>
    <row r="88" spans="1:24" ht="31.5" x14ac:dyDescent="0.25">
      <c r="A88" s="272"/>
      <c r="B88" s="428" t="s">
        <v>444</v>
      </c>
      <c r="C88" s="191">
        <v>12</v>
      </c>
      <c r="D88" s="191">
        <v>0</v>
      </c>
      <c r="E88" s="191">
        <f t="shared" si="2"/>
        <v>-12</v>
      </c>
      <c r="F88" s="192">
        <f t="shared" si="3"/>
        <v>0</v>
      </c>
      <c r="G88" s="442" t="s">
        <v>775</v>
      </c>
      <c r="H88" s="558"/>
    </row>
    <row r="89" spans="1:24" ht="63" x14ac:dyDescent="0.25">
      <c r="A89" s="273"/>
      <c r="B89" s="270" t="s">
        <v>445</v>
      </c>
      <c r="C89" s="191"/>
      <c r="D89" s="201">
        <v>0</v>
      </c>
      <c r="E89" s="191">
        <f t="shared" si="2"/>
        <v>0</v>
      </c>
      <c r="F89" s="191">
        <v>0</v>
      </c>
      <c r="G89" s="442" t="s">
        <v>691</v>
      </c>
      <c r="H89" s="558"/>
    </row>
    <row r="90" spans="1:24" s="290" customFormat="1" x14ac:dyDescent="0.25">
      <c r="A90" s="372" t="s">
        <v>298</v>
      </c>
      <c r="B90" s="1186" t="s">
        <v>446</v>
      </c>
      <c r="C90" s="1187"/>
      <c r="D90" s="1187"/>
      <c r="E90" s="1187"/>
      <c r="F90" s="1187"/>
      <c r="G90" s="1188"/>
      <c r="H90" s="340"/>
      <c r="I90" s="289"/>
      <c r="J90" s="289"/>
      <c r="K90" s="289"/>
      <c r="L90" s="289"/>
      <c r="M90" s="289"/>
      <c r="N90" s="289"/>
      <c r="O90" s="289"/>
      <c r="P90" s="289"/>
      <c r="Q90" s="289"/>
      <c r="R90" s="289"/>
      <c r="S90" s="289"/>
      <c r="T90" s="289"/>
      <c r="U90" s="289"/>
      <c r="V90" s="289"/>
      <c r="W90" s="289"/>
      <c r="X90" s="289"/>
    </row>
    <row r="91" spans="1:24" s="341" customFormat="1" ht="63" x14ac:dyDescent="0.25">
      <c r="A91" s="376"/>
      <c r="B91" s="353" t="s">
        <v>249</v>
      </c>
      <c r="C91" s="108">
        <f>'звіт ІІ кв'!E35</f>
        <v>1111.3</v>
      </c>
      <c r="D91" s="108">
        <f>'звіт ІІ кв'!I35</f>
        <v>3190.4609599999999</v>
      </c>
      <c r="E91" s="108">
        <f t="shared" si="2"/>
        <v>2079.1609600000002</v>
      </c>
      <c r="F91" s="360">
        <f t="shared" si="3"/>
        <v>287.09268064429045</v>
      </c>
      <c r="G91" s="193" t="s">
        <v>784</v>
      </c>
      <c r="H91" s="340"/>
      <c r="I91" s="289"/>
      <c r="J91" s="289"/>
      <c r="K91" s="289"/>
      <c r="L91" s="289"/>
      <c r="M91" s="289"/>
      <c r="N91" s="289"/>
      <c r="O91" s="289"/>
      <c r="P91" s="289"/>
      <c r="Q91" s="289"/>
      <c r="R91" s="289"/>
      <c r="S91" s="289"/>
      <c r="T91" s="289"/>
      <c r="U91" s="289"/>
      <c r="V91" s="289"/>
      <c r="W91" s="289"/>
      <c r="X91" s="289"/>
    </row>
    <row r="92" spans="1:24" s="341" customFormat="1" ht="126" x14ac:dyDescent="0.25">
      <c r="A92" s="377"/>
      <c r="B92" s="356" t="s">
        <v>314</v>
      </c>
      <c r="C92" s="318">
        <v>4820</v>
      </c>
      <c r="D92" s="318">
        <v>592</v>
      </c>
      <c r="E92" s="318">
        <f t="shared" si="2"/>
        <v>-4228</v>
      </c>
      <c r="F92" s="360">
        <f t="shared" si="3"/>
        <v>12.282157676348547</v>
      </c>
      <c r="G92" s="443" t="s">
        <v>717</v>
      </c>
      <c r="H92" s="355"/>
      <c r="I92" s="289"/>
      <c r="J92" s="289"/>
      <c r="K92" s="289"/>
      <c r="L92" s="289"/>
      <c r="M92" s="289"/>
      <c r="N92" s="289"/>
      <c r="O92" s="289"/>
      <c r="P92" s="289"/>
      <c r="Q92" s="289"/>
      <c r="R92" s="289"/>
      <c r="S92" s="289"/>
      <c r="T92" s="289"/>
      <c r="U92" s="289"/>
      <c r="V92" s="289"/>
      <c r="W92" s="289"/>
      <c r="X92" s="289"/>
    </row>
    <row r="93" spans="1:24" s="341" customFormat="1" ht="78.75" x14ac:dyDescent="0.25">
      <c r="A93" s="377"/>
      <c r="B93" s="356" t="s">
        <v>315</v>
      </c>
      <c r="C93" s="318">
        <v>0.23</v>
      </c>
      <c r="D93" s="330" t="s">
        <v>653</v>
      </c>
      <c r="E93" s="330" t="s">
        <v>653</v>
      </c>
      <c r="F93" s="360" t="s">
        <v>653</v>
      </c>
      <c r="G93" s="443" t="s">
        <v>776</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353" t="s">
        <v>316</v>
      </c>
      <c r="C94" s="331">
        <v>10</v>
      </c>
      <c r="D94" s="331">
        <f>D92/21419*100</f>
        <v>2.7639012092067792</v>
      </c>
      <c r="E94" s="331">
        <f t="shared" si="2"/>
        <v>-7.2360987907932213</v>
      </c>
      <c r="F94" s="360">
        <f t="shared" si="3"/>
        <v>27.639012092067794</v>
      </c>
      <c r="G94" s="443" t="s">
        <v>730</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86" t="s">
        <v>447</v>
      </c>
      <c r="C95" s="1187"/>
      <c r="D95" s="1187"/>
      <c r="E95" s="1187"/>
      <c r="F95" s="1187"/>
      <c r="G95" s="1188"/>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349" t="s">
        <v>317</v>
      </c>
      <c r="C96" s="318">
        <v>15</v>
      </c>
      <c r="D96" s="318">
        <v>2</v>
      </c>
      <c r="E96" s="318">
        <f t="shared" si="2"/>
        <v>-13</v>
      </c>
      <c r="F96" s="360">
        <f t="shared" si="3"/>
        <v>13.333333333333334</v>
      </c>
      <c r="G96" s="443"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349" t="s">
        <v>318</v>
      </c>
      <c r="C97" s="318" t="s">
        <v>653</v>
      </c>
      <c r="D97" s="318" t="s">
        <v>653</v>
      </c>
      <c r="E97" s="318" t="s">
        <v>653</v>
      </c>
      <c r="F97" s="318" t="s">
        <v>653</v>
      </c>
      <c r="G97" s="443" t="s">
        <v>694</v>
      </c>
      <c r="H97" s="355"/>
      <c r="I97" s="289"/>
      <c r="J97" s="289"/>
      <c r="K97" s="289"/>
      <c r="L97" s="289"/>
      <c r="M97" s="289"/>
      <c r="N97" s="289"/>
      <c r="O97" s="289"/>
      <c r="P97" s="289"/>
      <c r="Q97" s="289"/>
      <c r="R97" s="289"/>
      <c r="S97" s="289"/>
      <c r="T97" s="289"/>
      <c r="U97" s="289"/>
      <c r="V97" s="289"/>
      <c r="W97" s="289"/>
      <c r="X97" s="289"/>
    </row>
    <row r="98" spans="1:24" s="341" customFormat="1" ht="20.25" customHeight="1" x14ac:dyDescent="0.25">
      <c r="A98" s="291" t="s">
        <v>306</v>
      </c>
      <c r="B98" s="1189" t="s">
        <v>448</v>
      </c>
      <c r="C98" s="1189"/>
      <c r="D98" s="1189"/>
      <c r="E98" s="1189"/>
      <c r="F98" s="1189"/>
      <c r="G98" s="1189"/>
      <c r="H98" s="340"/>
      <c r="I98" s="289"/>
      <c r="J98" s="289"/>
      <c r="K98" s="289"/>
      <c r="L98" s="289"/>
      <c r="M98" s="289"/>
      <c r="N98" s="289"/>
      <c r="O98" s="289"/>
      <c r="P98" s="289"/>
      <c r="Q98" s="289"/>
      <c r="R98" s="289"/>
      <c r="S98" s="289"/>
      <c r="T98" s="289"/>
      <c r="U98" s="289"/>
      <c r="V98" s="289"/>
      <c r="W98" s="289"/>
      <c r="X98" s="289"/>
    </row>
    <row r="99" spans="1:24" s="341" customFormat="1" ht="31.5" x14ac:dyDescent="0.25">
      <c r="A99" s="392"/>
      <c r="B99" s="446" t="s">
        <v>673</v>
      </c>
      <c r="C99" s="330">
        <f>C101+C106</f>
        <v>539</v>
      </c>
      <c r="D99" s="108">
        <f>'звіт ІІ кв'!I40</f>
        <v>0</v>
      </c>
      <c r="E99" s="108">
        <f>D99-C99</f>
        <v>-539</v>
      </c>
      <c r="F99" s="360">
        <f>D99/C99*100</f>
        <v>0</v>
      </c>
      <c r="G99" s="443" t="s">
        <v>778</v>
      </c>
      <c r="H99" s="340"/>
      <c r="I99" s="289"/>
      <c r="J99" s="289"/>
      <c r="K99" s="289"/>
      <c r="L99" s="289"/>
      <c r="M99" s="289"/>
      <c r="N99" s="289"/>
      <c r="O99" s="289"/>
      <c r="P99" s="289"/>
      <c r="Q99" s="289"/>
      <c r="R99" s="289"/>
      <c r="S99" s="289"/>
      <c r="T99" s="289"/>
      <c r="U99" s="289"/>
      <c r="V99" s="289"/>
      <c r="W99" s="289"/>
      <c r="X99" s="289"/>
    </row>
    <row r="100" spans="1:24" s="341" customFormat="1" x14ac:dyDescent="0.25">
      <c r="A100" s="381"/>
      <c r="B100" s="1188" t="s">
        <v>100</v>
      </c>
      <c r="C100" s="1189"/>
      <c r="D100" s="1189"/>
      <c r="E100" s="1189"/>
      <c r="F100" s="1189"/>
      <c r="G100" s="1189"/>
      <c r="H100" s="340"/>
      <c r="I100" s="289"/>
      <c r="J100" s="289"/>
      <c r="K100" s="289"/>
      <c r="L100" s="289"/>
      <c r="M100" s="289"/>
      <c r="N100" s="289"/>
      <c r="O100" s="289"/>
      <c r="P100" s="289"/>
      <c r="Q100" s="289"/>
      <c r="R100" s="289"/>
      <c r="S100" s="289"/>
      <c r="T100" s="289"/>
      <c r="U100" s="289"/>
      <c r="V100" s="289"/>
      <c r="W100" s="289"/>
      <c r="X100" s="289"/>
    </row>
    <row r="101" spans="1:24" s="551" customFormat="1" ht="47.25" x14ac:dyDescent="0.25">
      <c r="A101" s="381"/>
      <c r="B101" s="363" t="s">
        <v>449</v>
      </c>
      <c r="C101" s="330">
        <v>488</v>
      </c>
      <c r="D101" s="330">
        <f>'звіт І кв'!I41</f>
        <v>0</v>
      </c>
      <c r="E101" s="330">
        <f>D101-C101</f>
        <v>-488</v>
      </c>
      <c r="F101" s="360">
        <v>0</v>
      </c>
      <c r="G101" s="443" t="s">
        <v>695</v>
      </c>
      <c r="H101" s="565"/>
      <c r="I101" s="550"/>
      <c r="J101" s="550"/>
      <c r="K101" s="550"/>
      <c r="L101" s="550"/>
      <c r="M101" s="550"/>
      <c r="N101" s="550"/>
      <c r="O101" s="550"/>
      <c r="P101" s="550"/>
      <c r="Q101" s="550"/>
      <c r="R101" s="550"/>
      <c r="S101" s="550"/>
      <c r="T101" s="550"/>
      <c r="U101" s="550"/>
      <c r="V101" s="550"/>
      <c r="W101" s="550"/>
      <c r="X101" s="550"/>
    </row>
    <row r="102" spans="1:24" s="551" customFormat="1" ht="63" x14ac:dyDescent="0.25">
      <c r="A102" s="381"/>
      <c r="B102" s="363" t="s">
        <v>450</v>
      </c>
      <c r="C102" s="318">
        <v>400</v>
      </c>
      <c r="D102" s="318">
        <v>79</v>
      </c>
      <c r="E102" s="330">
        <f>D102-C102</f>
        <v>-321</v>
      </c>
      <c r="F102" s="360">
        <f>D102/C102*100</f>
        <v>19.75</v>
      </c>
      <c r="G102" s="443"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x14ac:dyDescent="0.25">
      <c r="A103" s="381"/>
      <c r="B103" s="363" t="s">
        <v>451</v>
      </c>
      <c r="C103" s="318">
        <f>C101/C102</f>
        <v>1.22</v>
      </c>
      <c r="D103" s="330" t="s">
        <v>653</v>
      </c>
      <c r="E103" s="330" t="s">
        <v>653</v>
      </c>
      <c r="F103" s="360" t="s">
        <v>653</v>
      </c>
      <c r="G103" s="443"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x14ac:dyDescent="0.25">
      <c r="A104" s="381"/>
      <c r="B104" s="363" t="s">
        <v>452</v>
      </c>
      <c r="C104" s="391">
        <v>86.1</v>
      </c>
      <c r="D104" s="336">
        <v>100</v>
      </c>
      <c r="E104" s="516">
        <f>D104-C104</f>
        <v>13.900000000000006</v>
      </c>
      <c r="F104" s="360">
        <f>D104/C104*100</f>
        <v>116.14401858304298</v>
      </c>
      <c r="G104" s="443" t="s">
        <v>582</v>
      </c>
      <c r="H104" s="549"/>
      <c r="I104" s="550"/>
      <c r="J104" s="550"/>
      <c r="K104" s="550"/>
      <c r="L104" s="550"/>
      <c r="M104" s="550"/>
      <c r="N104" s="550"/>
      <c r="O104" s="550"/>
      <c r="P104" s="550"/>
      <c r="Q104" s="550"/>
      <c r="R104" s="550"/>
      <c r="S104" s="550"/>
      <c r="T104" s="550"/>
      <c r="U104" s="550"/>
      <c r="V104" s="550"/>
      <c r="W104" s="550"/>
      <c r="X104" s="550"/>
    </row>
    <row r="105" spans="1:24" s="566" customFormat="1" x14ac:dyDescent="0.25">
      <c r="A105" s="382"/>
      <c r="B105" s="1190" t="s">
        <v>101</v>
      </c>
      <c r="C105" s="1190"/>
      <c r="D105" s="1190"/>
      <c r="E105" s="1190"/>
      <c r="F105" s="1190"/>
      <c r="G105" s="1191"/>
      <c r="H105" s="565"/>
      <c r="I105" s="550"/>
      <c r="J105" s="550"/>
      <c r="K105" s="550"/>
      <c r="L105" s="550"/>
      <c r="M105" s="550"/>
      <c r="N105" s="550"/>
      <c r="O105" s="550"/>
      <c r="P105" s="550"/>
      <c r="Q105" s="550"/>
      <c r="R105" s="550"/>
      <c r="S105" s="550"/>
      <c r="T105" s="550"/>
      <c r="U105" s="550"/>
      <c r="V105" s="550"/>
      <c r="W105" s="550"/>
      <c r="X105" s="550"/>
    </row>
    <row r="106" spans="1:24" s="551" customFormat="1" ht="47.25" x14ac:dyDescent="0.25">
      <c r="A106" s="381"/>
      <c r="B106" s="363" t="s">
        <v>453</v>
      </c>
      <c r="C106" s="346">
        <f>'звіт ІІ кв'!E42</f>
        <v>51</v>
      </c>
      <c r="D106" s="346">
        <f>'звіт ІІ кв'!L42</f>
        <v>0</v>
      </c>
      <c r="E106" s="332">
        <f>D106-C106</f>
        <v>-51</v>
      </c>
      <c r="F106" s="332">
        <f>D106/C106*100</f>
        <v>0</v>
      </c>
      <c r="G106" s="443" t="s">
        <v>711</v>
      </c>
      <c r="H106" s="565"/>
      <c r="I106" s="550"/>
      <c r="J106" s="550"/>
      <c r="K106" s="550"/>
      <c r="L106" s="550"/>
      <c r="M106" s="550"/>
      <c r="N106" s="550"/>
      <c r="O106" s="550"/>
      <c r="P106" s="550"/>
      <c r="Q106" s="550"/>
      <c r="R106" s="550"/>
      <c r="S106" s="550"/>
      <c r="T106" s="550"/>
      <c r="U106" s="550"/>
      <c r="V106" s="550"/>
      <c r="W106" s="550"/>
      <c r="X106" s="550"/>
    </row>
    <row r="107" spans="1:24" s="551" customFormat="1" ht="63" x14ac:dyDescent="0.25">
      <c r="A107" s="381"/>
      <c r="B107" s="363" t="s">
        <v>454</v>
      </c>
      <c r="C107" s="336">
        <v>40</v>
      </c>
      <c r="D107" s="336">
        <v>195</v>
      </c>
      <c r="E107" s="567">
        <f>D107-C107</f>
        <v>155</v>
      </c>
      <c r="F107" s="332">
        <f>D107/C107*100</f>
        <v>487.5</v>
      </c>
      <c r="G107" s="443"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x14ac:dyDescent="0.25">
      <c r="A108" s="381"/>
      <c r="B108" s="363" t="s">
        <v>451</v>
      </c>
      <c r="C108" s="391">
        <f>C106/C107</f>
        <v>1.2749999999999999</v>
      </c>
      <c r="D108" s="391">
        <v>0</v>
      </c>
      <c r="E108" s="332">
        <v>0</v>
      </c>
      <c r="F108" s="332">
        <f>D108/C108*100</f>
        <v>0</v>
      </c>
      <c r="G108" s="443" t="s">
        <v>696</v>
      </c>
      <c r="H108" s="565"/>
      <c r="I108" s="550"/>
      <c r="J108" s="550"/>
      <c r="K108" s="550"/>
      <c r="L108" s="550"/>
      <c r="M108" s="550"/>
      <c r="N108" s="550"/>
      <c r="O108" s="550"/>
      <c r="P108" s="550"/>
      <c r="Q108" s="550"/>
      <c r="R108" s="550"/>
      <c r="S108" s="550"/>
      <c r="T108" s="550"/>
      <c r="U108" s="550"/>
      <c r="V108" s="550"/>
      <c r="W108" s="550"/>
      <c r="X108" s="550"/>
    </row>
    <row r="109" spans="1:24" s="551" customFormat="1" ht="63" x14ac:dyDescent="0.25">
      <c r="A109" s="383"/>
      <c r="B109" s="363" t="s">
        <v>581</v>
      </c>
      <c r="C109" s="391">
        <v>53.9</v>
      </c>
      <c r="D109" s="336">
        <v>100</v>
      </c>
      <c r="E109" s="517">
        <f>D109-C109</f>
        <v>46.1</v>
      </c>
      <c r="F109" s="332">
        <f>D109/C109*100</f>
        <v>185.5287569573284</v>
      </c>
      <c r="G109" s="443" t="s">
        <v>657</v>
      </c>
      <c r="H109" s="549"/>
      <c r="I109" s="550"/>
      <c r="J109" s="550"/>
      <c r="K109" s="550"/>
      <c r="L109" s="550"/>
      <c r="M109" s="550"/>
      <c r="N109" s="550"/>
      <c r="O109" s="550"/>
      <c r="P109" s="550"/>
      <c r="Q109" s="550"/>
      <c r="R109" s="550"/>
      <c r="S109" s="550"/>
      <c r="T109" s="550"/>
      <c r="U109" s="550"/>
      <c r="V109" s="550"/>
      <c r="W109" s="550"/>
      <c r="X109" s="550"/>
    </row>
    <row r="110" spans="1:24" s="341" customFormat="1" x14ac:dyDescent="0.25">
      <c r="A110" s="585" t="s">
        <v>103</v>
      </c>
      <c r="B110" s="1217" t="s">
        <v>102</v>
      </c>
      <c r="C110" s="1218"/>
      <c r="D110" s="1218"/>
      <c r="E110" s="1218"/>
      <c r="F110" s="1218"/>
      <c r="G110" s="1219"/>
      <c r="H110" s="340"/>
      <c r="I110" s="289"/>
      <c r="J110" s="289"/>
      <c r="K110" s="289"/>
      <c r="L110" s="289"/>
      <c r="M110" s="289"/>
      <c r="N110" s="289"/>
      <c r="O110" s="289"/>
      <c r="P110" s="289"/>
      <c r="Q110" s="289"/>
      <c r="R110" s="289"/>
      <c r="S110" s="289"/>
      <c r="T110" s="289"/>
      <c r="U110" s="289"/>
      <c r="V110" s="289"/>
      <c r="W110" s="289"/>
      <c r="X110" s="289"/>
    </row>
    <row r="111" spans="1:24" ht="33.75" customHeight="1" x14ac:dyDescent="0.25">
      <c r="A111" s="212" t="s">
        <v>105</v>
      </c>
      <c r="B111" s="1136" t="s">
        <v>455</v>
      </c>
      <c r="C111" s="1137"/>
      <c r="D111" s="1137"/>
      <c r="E111" s="1137"/>
      <c r="F111" s="1137"/>
      <c r="G111" s="1138"/>
    </row>
    <row r="112" spans="1:24" ht="47.25" x14ac:dyDescent="0.25">
      <c r="A112" s="212"/>
      <c r="B112" s="529" t="s">
        <v>456</v>
      </c>
      <c r="C112" s="368"/>
      <c r="D112" s="368"/>
      <c r="E112" s="275"/>
      <c r="F112" s="275"/>
      <c r="G112" s="533"/>
    </row>
    <row r="113" spans="1:24" s="341" customFormat="1" ht="141.75" x14ac:dyDescent="0.25">
      <c r="A113" s="382"/>
      <c r="B113" s="373" t="s">
        <v>457</v>
      </c>
      <c r="C113" s="108">
        <f>'звіт ІІ кв'!F45</f>
        <v>830.95</v>
      </c>
      <c r="D113" s="333">
        <f>'звіт ІІ кв'!J45</f>
        <v>322.15672000000001</v>
      </c>
      <c r="E113" s="330">
        <f t="shared" ref="E113:E121" si="4">D113-C113</f>
        <v>-508.79328000000004</v>
      </c>
      <c r="F113" s="360">
        <f t="shared" ref="F113:F121" si="5">D113/C113*100</f>
        <v>38.769687706841566</v>
      </c>
      <c r="G113" s="193" t="s">
        <v>780</v>
      </c>
      <c r="H113" s="340"/>
      <c r="I113" s="289"/>
      <c r="J113" s="289"/>
      <c r="K113" s="289"/>
      <c r="L113" s="289"/>
      <c r="M113" s="289"/>
      <c r="N113" s="289"/>
      <c r="O113" s="289"/>
      <c r="P113" s="289"/>
      <c r="Q113" s="289"/>
      <c r="R113" s="289"/>
      <c r="S113" s="289"/>
      <c r="T113" s="289"/>
      <c r="U113" s="289"/>
      <c r="V113" s="289"/>
      <c r="W113" s="289"/>
      <c r="X113" s="289"/>
    </row>
    <row r="114" spans="1:24" s="341" customFormat="1" ht="63" x14ac:dyDescent="0.25">
      <c r="A114" s="382"/>
      <c r="B114" s="373" t="s">
        <v>458</v>
      </c>
      <c r="C114" s="318">
        <v>4800</v>
      </c>
      <c r="D114" s="375">
        <v>608</v>
      </c>
      <c r="E114" s="360">
        <f t="shared" si="4"/>
        <v>-4192</v>
      </c>
      <c r="F114" s="360">
        <f t="shared" si="5"/>
        <v>12.666666666666668</v>
      </c>
      <c r="G114" s="442"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373" t="s">
        <v>459</v>
      </c>
      <c r="C115" s="330">
        <f>'звіт ІІ кв'!G45</f>
        <v>878.79480000000001</v>
      </c>
      <c r="D115" s="330">
        <f>'звіт ІІ кв'!K45</f>
        <v>0</v>
      </c>
      <c r="E115" s="330">
        <f t="shared" si="4"/>
        <v>-878.79480000000001</v>
      </c>
      <c r="F115" s="360">
        <f t="shared" si="5"/>
        <v>0</v>
      </c>
      <c r="G115" s="193" t="s">
        <v>781</v>
      </c>
      <c r="H115" s="340"/>
      <c r="I115" s="289"/>
      <c r="J115" s="289"/>
      <c r="K115" s="289"/>
      <c r="L115" s="289"/>
      <c r="M115" s="289"/>
      <c r="N115" s="289"/>
      <c r="O115" s="289"/>
      <c r="P115" s="289"/>
      <c r="Q115" s="289"/>
      <c r="R115" s="289"/>
      <c r="S115" s="289"/>
      <c r="T115" s="289"/>
      <c r="U115" s="289"/>
      <c r="V115" s="289"/>
      <c r="W115" s="289"/>
      <c r="X115" s="289"/>
    </row>
    <row r="116" spans="1:24" s="341" customFormat="1" ht="63" x14ac:dyDescent="0.25">
      <c r="A116" s="382"/>
      <c r="B116" s="373" t="s">
        <v>460</v>
      </c>
      <c r="C116" s="360">
        <v>3360</v>
      </c>
      <c r="D116" s="360">
        <v>1218</v>
      </c>
      <c r="E116" s="360">
        <f t="shared" si="4"/>
        <v>-2142</v>
      </c>
      <c r="F116" s="360">
        <f t="shared" si="5"/>
        <v>36.25</v>
      </c>
      <c r="G116" s="442" t="s">
        <v>731</v>
      </c>
      <c r="H116" s="355"/>
      <c r="I116" s="289"/>
      <c r="J116" s="289"/>
      <c r="K116" s="289"/>
      <c r="L116" s="289"/>
      <c r="M116" s="289"/>
      <c r="N116" s="289"/>
      <c r="O116" s="289"/>
      <c r="P116" s="289"/>
      <c r="Q116" s="289"/>
      <c r="R116" s="289"/>
      <c r="S116" s="289"/>
      <c r="T116" s="289"/>
      <c r="U116" s="289"/>
      <c r="V116" s="289"/>
      <c r="W116" s="289"/>
      <c r="X116" s="289"/>
    </row>
    <row r="117" spans="1:24" ht="78.75" x14ac:dyDescent="0.25">
      <c r="A117" s="208"/>
      <c r="B117" s="270" t="s">
        <v>461</v>
      </c>
      <c r="C117" s="192">
        <v>2800</v>
      </c>
      <c r="D117" s="192">
        <v>931</v>
      </c>
      <c r="E117" s="192">
        <f t="shared" si="4"/>
        <v>-1869</v>
      </c>
      <c r="F117" s="192">
        <f t="shared" si="5"/>
        <v>33.25</v>
      </c>
      <c r="G117" s="442" t="s">
        <v>718</v>
      </c>
      <c r="H117" s="558"/>
    </row>
    <row r="118" spans="1:24" ht="31.5" x14ac:dyDescent="0.25">
      <c r="A118" s="208"/>
      <c r="B118" s="270" t="s">
        <v>462</v>
      </c>
      <c r="C118" s="203">
        <f>(C113+C115)/C117</f>
        <v>0.61062314285714281</v>
      </c>
      <c r="D118" s="203">
        <f>(D113+D115)/D117</f>
        <v>0.34603299677765842</v>
      </c>
      <c r="E118" s="203">
        <f t="shared" si="4"/>
        <v>-0.26459014607948439</v>
      </c>
      <c r="F118" s="192">
        <f t="shared" si="5"/>
        <v>56.668830984451226</v>
      </c>
      <c r="G118" s="122" t="s">
        <v>714</v>
      </c>
    </row>
    <row r="119" spans="1:24" s="548" customFormat="1" ht="78.75" x14ac:dyDescent="0.25">
      <c r="A119" s="208"/>
      <c r="B119" s="552" t="s">
        <v>733</v>
      </c>
      <c r="C119" s="147">
        <v>83</v>
      </c>
      <c r="D119" s="147">
        <f>D117/1826*100</f>
        <v>50.985761226725081</v>
      </c>
      <c r="E119" s="147">
        <f t="shared" si="4"/>
        <v>-32.014238773274919</v>
      </c>
      <c r="F119" s="192">
        <f t="shared" si="5"/>
        <v>61.428627984006127</v>
      </c>
      <c r="G119" s="442" t="s">
        <v>732</v>
      </c>
      <c r="H119" s="546"/>
      <c r="I119" s="547"/>
      <c r="J119" s="547"/>
      <c r="K119" s="547"/>
      <c r="L119" s="547"/>
      <c r="M119" s="547"/>
      <c r="N119" s="547"/>
      <c r="O119" s="547"/>
      <c r="P119" s="547"/>
      <c r="Q119" s="547"/>
      <c r="R119" s="547"/>
      <c r="S119" s="547"/>
      <c r="T119" s="547"/>
      <c r="U119" s="547"/>
      <c r="V119" s="547"/>
      <c r="W119" s="547"/>
      <c r="X119" s="547"/>
    </row>
    <row r="120" spans="1:24" ht="63" x14ac:dyDescent="0.25">
      <c r="A120" s="208"/>
      <c r="B120" s="270" t="s">
        <v>464</v>
      </c>
      <c r="C120" s="192">
        <v>17900</v>
      </c>
      <c r="D120" s="192">
        <v>13237</v>
      </c>
      <c r="E120" s="192">
        <f t="shared" si="4"/>
        <v>-4663</v>
      </c>
      <c r="F120" s="192">
        <f t="shared" si="5"/>
        <v>73.949720670391059</v>
      </c>
      <c r="G120" s="442" t="s">
        <v>734</v>
      </c>
    </row>
    <row r="121" spans="1:24" ht="63" x14ac:dyDescent="0.25">
      <c r="A121" s="208"/>
      <c r="B121" s="270" t="s">
        <v>465</v>
      </c>
      <c r="C121" s="147">
        <v>73.7</v>
      </c>
      <c r="D121" s="147">
        <f>D120*100/23100</f>
        <v>57.303030303030305</v>
      </c>
      <c r="E121" s="147">
        <f t="shared" si="4"/>
        <v>-16.396969696969698</v>
      </c>
      <c r="F121" s="147">
        <f t="shared" si="5"/>
        <v>77.751737181859298</v>
      </c>
      <c r="G121" s="442" t="s">
        <v>734</v>
      </c>
    </row>
    <row r="122" spans="1:24" ht="51.75" customHeight="1" x14ac:dyDescent="0.25">
      <c r="A122" s="208"/>
      <c r="B122" s="531"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157.5" x14ac:dyDescent="0.25">
      <c r="A123" s="208"/>
      <c r="B123" s="270" t="s">
        <v>467</v>
      </c>
      <c r="C123" s="203"/>
      <c r="D123" s="192">
        <v>195</v>
      </c>
      <c r="E123" s="561">
        <f>D123-C123</f>
        <v>195</v>
      </c>
      <c r="F123" s="192">
        <v>100</v>
      </c>
      <c r="G123" s="442" t="s">
        <v>759</v>
      </c>
    </row>
    <row r="124" spans="1:24" s="548" customFormat="1" ht="78.75" x14ac:dyDescent="0.25">
      <c r="A124" s="208"/>
      <c r="B124" s="552" t="s">
        <v>735</v>
      </c>
      <c r="C124" s="147">
        <v>60</v>
      </c>
      <c r="D124" s="147">
        <f>D123*100/441</f>
        <v>44.217687074829932</v>
      </c>
      <c r="E124" s="147">
        <f>D124-C124</f>
        <v>-15.782312925170068</v>
      </c>
      <c r="F124" s="147">
        <f>D124/C124*100</f>
        <v>73.696145124716551</v>
      </c>
      <c r="G124" s="442" t="s">
        <v>736</v>
      </c>
      <c r="H124" s="546"/>
      <c r="I124" s="547"/>
      <c r="J124" s="547"/>
      <c r="K124" s="547"/>
      <c r="L124" s="547"/>
      <c r="M124" s="547"/>
      <c r="N124" s="547"/>
      <c r="O124" s="547"/>
      <c r="P124" s="547"/>
      <c r="Q124" s="547"/>
      <c r="R124" s="547"/>
      <c r="S124" s="547"/>
      <c r="T124" s="547"/>
      <c r="U124" s="547"/>
      <c r="V124" s="547"/>
      <c r="W124" s="547"/>
      <c r="X124" s="547"/>
    </row>
    <row r="125" spans="1:24" ht="31.5" x14ac:dyDescent="0.25">
      <c r="A125" s="208"/>
      <c r="B125" s="530" t="s">
        <v>569</v>
      </c>
      <c r="C125" s="357"/>
      <c r="D125" s="357"/>
      <c r="E125" s="192"/>
      <c r="F125" s="192"/>
      <c r="G125" s="122"/>
    </row>
    <row r="126" spans="1:24" s="548" customFormat="1" ht="204.75" x14ac:dyDescent="0.25">
      <c r="A126" s="208"/>
      <c r="B126" s="552" t="s">
        <v>737</v>
      </c>
      <c r="C126" s="192">
        <v>1344</v>
      </c>
      <c r="D126" s="192">
        <v>23</v>
      </c>
      <c r="E126" s="192">
        <f>D126-C126</f>
        <v>-1321</v>
      </c>
      <c r="F126" s="147">
        <f>D126/C126*100</f>
        <v>1.7113095238095239</v>
      </c>
      <c r="G126" s="442" t="s">
        <v>739</v>
      </c>
      <c r="H126" s="546"/>
      <c r="I126" s="547"/>
      <c r="J126" s="547"/>
      <c r="K126" s="547"/>
      <c r="L126" s="547"/>
      <c r="M126" s="547"/>
      <c r="N126" s="547"/>
      <c r="O126" s="547"/>
      <c r="P126" s="547"/>
      <c r="Q126" s="547"/>
      <c r="R126" s="547"/>
      <c r="S126" s="547"/>
      <c r="T126" s="547"/>
      <c r="U126" s="547"/>
      <c r="V126" s="547"/>
      <c r="W126" s="547"/>
      <c r="X126" s="547"/>
    </row>
    <row r="127" spans="1:24" s="548" customFormat="1" ht="78.75" x14ac:dyDescent="0.25">
      <c r="A127" s="208"/>
      <c r="B127" s="553" t="s">
        <v>738</v>
      </c>
      <c r="C127" s="203">
        <v>40</v>
      </c>
      <c r="D127" s="203">
        <f>790*100/12304</f>
        <v>6.4206762028608582</v>
      </c>
      <c r="E127" s="203">
        <f>D127-C127</f>
        <v>-33.579323797139139</v>
      </c>
      <c r="F127" s="147">
        <f>D127/C127*100</f>
        <v>16.051690507152145</v>
      </c>
      <c r="G127" s="442" t="s">
        <v>760</v>
      </c>
      <c r="H127" s="546"/>
      <c r="I127" s="547"/>
      <c r="J127" s="547"/>
      <c r="K127" s="547"/>
      <c r="L127" s="547"/>
      <c r="M127" s="547"/>
      <c r="N127" s="547"/>
      <c r="O127" s="547"/>
      <c r="P127" s="547"/>
      <c r="Q127" s="547"/>
      <c r="R127" s="547"/>
      <c r="S127" s="547"/>
      <c r="T127" s="547"/>
      <c r="U127" s="547"/>
      <c r="V127" s="547"/>
      <c r="W127" s="547"/>
      <c r="X127" s="547"/>
    </row>
    <row r="128" spans="1:24" ht="94.5" x14ac:dyDescent="0.25">
      <c r="A128" s="208"/>
      <c r="B128" s="543" t="s">
        <v>470</v>
      </c>
      <c r="C128" s="152"/>
      <c r="D128" s="191"/>
      <c r="E128" s="192"/>
      <c r="F128" s="192"/>
      <c r="G128" s="122"/>
    </row>
    <row r="129" spans="1:24" s="341" customFormat="1" ht="63" x14ac:dyDescent="0.25">
      <c r="A129" s="382"/>
      <c r="B129" s="373" t="s">
        <v>471</v>
      </c>
      <c r="C129" s="108">
        <f>'звіт ІІ кв'!E48</f>
        <v>12900</v>
      </c>
      <c r="D129" s="108">
        <f>'звіт ІІ кв'!L48</f>
        <v>1392.5663</v>
      </c>
      <c r="E129" s="108">
        <f>D129-C129</f>
        <v>-11507.4337</v>
      </c>
      <c r="F129" s="360">
        <f>D129/C129*100</f>
        <v>10.795087596899226</v>
      </c>
      <c r="G129" s="193" t="s">
        <v>785</v>
      </c>
      <c r="H129" s="340"/>
      <c r="I129" s="289"/>
      <c r="J129" s="289"/>
      <c r="K129" s="289"/>
      <c r="L129" s="289"/>
      <c r="M129" s="289"/>
      <c r="N129" s="289"/>
      <c r="O129" s="289"/>
      <c r="P129" s="289"/>
      <c r="Q129" s="289"/>
      <c r="R129" s="289"/>
      <c r="S129" s="289"/>
      <c r="T129" s="289"/>
      <c r="U129" s="289"/>
      <c r="V129" s="289"/>
      <c r="W129" s="289"/>
      <c r="X129" s="289"/>
    </row>
    <row r="130" spans="1:24" s="341" customFormat="1" ht="94.5" x14ac:dyDescent="0.25">
      <c r="A130" s="382"/>
      <c r="B130" s="373" t="s">
        <v>472</v>
      </c>
      <c r="C130" s="318">
        <v>700</v>
      </c>
      <c r="D130" s="318">
        <v>384</v>
      </c>
      <c r="E130" s="108">
        <f>D130-C130</f>
        <v>-316</v>
      </c>
      <c r="F130" s="360">
        <f>D130/C130*100</f>
        <v>54.857142857142861</v>
      </c>
      <c r="G130" s="443" t="s">
        <v>740</v>
      </c>
      <c r="H130" s="340"/>
      <c r="I130" s="289"/>
      <c r="J130" s="289"/>
      <c r="K130" s="289"/>
      <c r="L130" s="289"/>
      <c r="M130" s="289"/>
      <c r="N130" s="289"/>
      <c r="O130" s="289"/>
      <c r="P130" s="289"/>
      <c r="Q130" s="289"/>
      <c r="R130" s="289"/>
      <c r="S130" s="289"/>
      <c r="T130" s="289"/>
      <c r="U130" s="289"/>
      <c r="V130" s="289"/>
      <c r="W130" s="289"/>
      <c r="X130" s="289"/>
    </row>
    <row r="131" spans="1:24" ht="47.25" x14ac:dyDescent="0.25">
      <c r="A131" s="208"/>
      <c r="B131" s="270" t="s">
        <v>473</v>
      </c>
      <c r="C131" s="330">
        <f>C129/C130</f>
        <v>18.428571428571427</v>
      </c>
      <c r="D131" s="330">
        <f>D129/D130</f>
        <v>3.6264747395833332</v>
      </c>
      <c r="E131" s="284">
        <f>D131-C131</f>
        <v>-14.802096688988094</v>
      </c>
      <c r="F131" s="192">
        <f>D131/C131*100</f>
        <v>19.678545098514213</v>
      </c>
      <c r="G131" s="122" t="s">
        <v>741</v>
      </c>
    </row>
    <row r="132" spans="1:24" s="548" customFormat="1" ht="110.25" x14ac:dyDescent="0.25">
      <c r="A132" s="208"/>
      <c r="B132" s="552" t="s">
        <v>743</v>
      </c>
      <c r="C132" s="330">
        <v>80</v>
      </c>
      <c r="D132" s="544">
        <f>D130*100/592</f>
        <v>64.86486486486487</v>
      </c>
      <c r="E132" s="284">
        <f>D132-C132</f>
        <v>-15.13513513513513</v>
      </c>
      <c r="F132" s="192">
        <f>D132/C132*100</f>
        <v>81.081081081081081</v>
      </c>
      <c r="G132" s="442" t="s">
        <v>742</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x14ac:dyDescent="0.25">
      <c r="A133" s="208"/>
      <c r="B133" s="529" t="s">
        <v>475</v>
      </c>
      <c r="C133" s="368"/>
      <c r="D133" s="368"/>
      <c r="E133" s="275"/>
      <c r="F133" s="275"/>
      <c r="G133" s="533"/>
      <c r="H133" s="319"/>
      <c r="I133" s="124"/>
      <c r="J133" s="124"/>
      <c r="K133" s="124"/>
      <c r="L133" s="124"/>
      <c r="M133" s="124"/>
      <c r="N133" s="124"/>
      <c r="O133" s="124"/>
      <c r="P133" s="124"/>
      <c r="Q133" s="124"/>
      <c r="R133" s="124"/>
      <c r="S133" s="124"/>
      <c r="T133" s="124"/>
      <c r="U133" s="124"/>
      <c r="V133" s="124"/>
      <c r="W133" s="124"/>
      <c r="X133" s="124"/>
    </row>
    <row r="134" spans="1:24" s="551" customFormat="1" ht="157.5" x14ac:dyDescent="0.25">
      <c r="A134" s="381"/>
      <c r="B134" s="363" t="s">
        <v>476</v>
      </c>
      <c r="C134" s="332">
        <v>1507</v>
      </c>
      <c r="D134" s="332">
        <v>107</v>
      </c>
      <c r="E134" s="332">
        <f>D134-C134</f>
        <v>-1400</v>
      </c>
      <c r="F134" s="332">
        <f>D134/C134*100</f>
        <v>7.1001990710019909</v>
      </c>
      <c r="G134" s="443" t="s">
        <v>782</v>
      </c>
      <c r="H134" s="565"/>
      <c r="I134" s="550"/>
      <c r="J134" s="550"/>
      <c r="K134" s="550"/>
      <c r="L134" s="550"/>
      <c r="M134" s="550"/>
      <c r="N134" s="550"/>
      <c r="O134" s="550"/>
      <c r="P134" s="550"/>
      <c r="Q134" s="550"/>
      <c r="R134" s="550"/>
      <c r="S134" s="550"/>
      <c r="T134" s="550"/>
      <c r="U134" s="550"/>
      <c r="V134" s="550"/>
      <c r="W134" s="550"/>
      <c r="X134" s="550"/>
    </row>
    <row r="135" spans="1:24" s="551" customFormat="1" ht="47.25" x14ac:dyDescent="0.25">
      <c r="A135" s="383"/>
      <c r="B135" s="363" t="s">
        <v>477</v>
      </c>
      <c r="C135" s="336">
        <v>50</v>
      </c>
      <c r="D135" s="351">
        <f>D134/D117*100</f>
        <v>11.493018259935553</v>
      </c>
      <c r="E135" s="332">
        <f>D135-C135</f>
        <v>-38.506981740064447</v>
      </c>
      <c r="F135" s="332">
        <f>D135/C135*100</f>
        <v>22.986036519871107</v>
      </c>
      <c r="G135" s="443" t="s">
        <v>783</v>
      </c>
      <c r="H135" s="565"/>
      <c r="I135" s="550"/>
      <c r="J135" s="550"/>
      <c r="K135" s="550"/>
      <c r="L135" s="550"/>
      <c r="M135" s="550"/>
      <c r="N135" s="550"/>
      <c r="O135" s="550"/>
      <c r="P135" s="550"/>
      <c r="Q135" s="550"/>
      <c r="R135" s="550"/>
      <c r="S135" s="550"/>
      <c r="T135" s="550"/>
      <c r="U135" s="550"/>
      <c r="V135" s="550"/>
      <c r="W135" s="550"/>
      <c r="X135" s="550"/>
    </row>
    <row r="136" spans="1:24" ht="25.5" customHeight="1" x14ac:dyDescent="0.25">
      <c r="A136" s="208" t="s">
        <v>329</v>
      </c>
      <c r="B136" s="1136" t="s">
        <v>478</v>
      </c>
      <c r="C136" s="1137"/>
      <c r="D136" s="1137"/>
      <c r="E136" s="1137"/>
      <c r="F136" s="1137"/>
      <c r="G136" s="1138"/>
    </row>
    <row r="137" spans="1:24" s="341" customFormat="1" ht="31.5" x14ac:dyDescent="0.25">
      <c r="A137" s="384"/>
      <c r="B137" s="373" t="s">
        <v>479</v>
      </c>
      <c r="C137" s="108">
        <f>'звіт ІІ кв'!E50</f>
        <v>1046.93</v>
      </c>
      <c r="D137" s="385">
        <f>'звіт ІІ кв'!I50</f>
        <v>217.70162999999999</v>
      </c>
      <c r="E137" s="332">
        <f>D137-C137</f>
        <v>-829.22837000000004</v>
      </c>
      <c r="F137" s="332">
        <f>D137/C137*100</f>
        <v>20.794287106110243</v>
      </c>
      <c r="G137" s="568"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381"/>
      <c r="B138" s="386" t="s">
        <v>480</v>
      </c>
      <c r="C138" s="318">
        <v>1120</v>
      </c>
      <c r="D138" s="387">
        <v>931</v>
      </c>
      <c r="E138" s="332">
        <f>D138-C138</f>
        <v>-189</v>
      </c>
      <c r="F138" s="332">
        <f>D138/C138*100</f>
        <v>83.125</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381"/>
      <c r="B139" s="386" t="s">
        <v>481</v>
      </c>
      <c r="C139" s="330">
        <f>C137/C138</f>
        <v>0.93475892857142862</v>
      </c>
      <c r="D139" s="358">
        <f>D137/D138</f>
        <v>0.23383633727175079</v>
      </c>
      <c r="E139" s="346">
        <f>D139-C139</f>
        <v>-0.70092259129967782</v>
      </c>
      <c r="F139" s="332">
        <f>D139/C139*100</f>
        <v>25.015683736673978</v>
      </c>
      <c r="G139" s="443"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x14ac:dyDescent="0.25">
      <c r="A141" s="382" t="s">
        <v>333</v>
      </c>
      <c r="B141" s="1186" t="s">
        <v>114</v>
      </c>
      <c r="C141" s="1187"/>
      <c r="D141" s="1187"/>
      <c r="E141" s="1187"/>
      <c r="F141" s="1187"/>
      <c r="G141" s="1188"/>
      <c r="H141" s="340"/>
      <c r="I141" s="289"/>
      <c r="J141" s="289"/>
      <c r="K141" s="289"/>
      <c r="L141" s="289"/>
      <c r="M141" s="289"/>
      <c r="N141" s="289"/>
      <c r="O141" s="289"/>
      <c r="P141" s="289"/>
      <c r="Q141" s="289"/>
      <c r="R141" s="289"/>
      <c r="S141" s="289"/>
      <c r="T141" s="289"/>
      <c r="U141" s="289"/>
      <c r="V141" s="289"/>
      <c r="W141" s="289"/>
      <c r="X141" s="289"/>
    </row>
    <row r="142" spans="1:24" s="341" customFormat="1" ht="126" x14ac:dyDescent="0.25">
      <c r="A142" s="384"/>
      <c r="B142" s="356" t="s">
        <v>249</v>
      </c>
      <c r="C142" s="108">
        <f>'звіт ІІ кв'!E51</f>
        <v>1980.00251</v>
      </c>
      <c r="D142" s="346">
        <f>'звіт ІІ кв'!I51</f>
        <v>483.81493</v>
      </c>
      <c r="E142" s="332">
        <f>D142-C142</f>
        <v>-1496.18758</v>
      </c>
      <c r="F142" s="332">
        <f>D142/C142*100</f>
        <v>24.435066498981357</v>
      </c>
      <c r="G142" s="443" t="s">
        <v>789</v>
      </c>
      <c r="H142" s="340"/>
      <c r="I142" s="289"/>
      <c r="J142" s="289"/>
      <c r="K142" s="289"/>
      <c r="L142" s="289"/>
      <c r="M142" s="289"/>
      <c r="N142" s="289"/>
      <c r="O142" s="289"/>
      <c r="P142" s="289"/>
      <c r="Q142" s="289"/>
      <c r="R142" s="289"/>
      <c r="S142" s="289"/>
      <c r="T142" s="289"/>
      <c r="U142" s="289"/>
      <c r="V142" s="289"/>
      <c r="W142" s="289"/>
      <c r="X142" s="289"/>
    </row>
    <row r="143" spans="1:24" s="341" customFormat="1" ht="78.75" x14ac:dyDescent="0.25">
      <c r="A143" s="381"/>
      <c r="B143" s="356" t="s">
        <v>483</v>
      </c>
      <c r="C143" s="318">
        <v>2800</v>
      </c>
      <c r="D143" s="336">
        <v>931</v>
      </c>
      <c r="E143" s="332">
        <f>D143-C143</f>
        <v>-1869</v>
      </c>
      <c r="F143" s="332">
        <f>D143/C143*100</f>
        <v>33.25</v>
      </c>
      <c r="G143" s="443"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x14ac:dyDescent="0.25">
      <c r="A144" s="381"/>
      <c r="B144" s="356" t="s">
        <v>484</v>
      </c>
      <c r="C144" s="330">
        <f>C142/C143</f>
        <v>0.70714375357142856</v>
      </c>
      <c r="D144" s="330">
        <f>D142/D143</f>
        <v>0.51967232008592912</v>
      </c>
      <c r="E144" s="346">
        <f>D144-C144</f>
        <v>-0.18747143348549944</v>
      </c>
      <c r="F144" s="332">
        <f>D144/C144*100</f>
        <v>73.488921801447688</v>
      </c>
      <c r="G144" s="443"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x14ac:dyDescent="0.25">
      <c r="A145" s="383"/>
      <c r="B145" s="356" t="s">
        <v>485</v>
      </c>
      <c r="C145" s="318">
        <v>100</v>
      </c>
      <c r="D145" s="336">
        <v>100</v>
      </c>
      <c r="E145" s="332">
        <f>D145-C145</f>
        <v>0</v>
      </c>
      <c r="F145" s="332">
        <f>D145/C145*100</f>
        <v>100</v>
      </c>
      <c r="G145" s="443" t="s">
        <v>703</v>
      </c>
      <c r="H145" s="340"/>
      <c r="I145" s="289"/>
      <c r="J145" s="289"/>
      <c r="K145" s="289"/>
      <c r="L145" s="289"/>
      <c r="M145" s="289"/>
      <c r="N145" s="289"/>
      <c r="O145" s="289"/>
      <c r="P145" s="289"/>
      <c r="Q145" s="289"/>
      <c r="R145" s="289"/>
      <c r="S145" s="289"/>
      <c r="T145" s="289"/>
      <c r="U145" s="289"/>
      <c r="V145" s="289"/>
      <c r="W145" s="289"/>
      <c r="X145" s="289"/>
    </row>
    <row r="146" spans="1:24" ht="21" customHeight="1" x14ac:dyDescent="0.25">
      <c r="A146" s="208" t="s">
        <v>339</v>
      </c>
      <c r="B146" s="1136" t="s">
        <v>486</v>
      </c>
      <c r="C146" s="1137"/>
      <c r="D146" s="1137"/>
      <c r="E146" s="1137"/>
      <c r="F146" s="1137"/>
      <c r="G146" s="1138"/>
    </row>
    <row r="147" spans="1:24" s="341" customFormat="1" ht="78.75" x14ac:dyDescent="0.25">
      <c r="A147" s="384"/>
      <c r="B147" s="356" t="s">
        <v>487</v>
      </c>
      <c r="C147" s="108">
        <f>'звіт ІІ кв'!E57</f>
        <v>4449.174</v>
      </c>
      <c r="D147" s="346">
        <f>'звіт ІІ кв'!I57</f>
        <v>194.39847</v>
      </c>
      <c r="E147" s="332">
        <f>D147-C147</f>
        <v>-4254.7755299999999</v>
      </c>
      <c r="F147" s="332">
        <f>D147/C147*100</f>
        <v>4.3693159674132769</v>
      </c>
      <c r="G147" s="325" t="s">
        <v>790</v>
      </c>
      <c r="H147" s="389"/>
      <c r="I147" s="390"/>
      <c r="J147" s="390"/>
      <c r="K147" s="390"/>
      <c r="L147" s="390"/>
      <c r="M147" s="390"/>
      <c r="N147" s="390"/>
      <c r="O147" s="390"/>
      <c r="P147" s="390"/>
      <c r="Q147" s="390"/>
      <c r="R147" s="390"/>
      <c r="S147" s="390"/>
      <c r="T147" s="390"/>
      <c r="U147" s="390"/>
      <c r="V147" s="390"/>
      <c r="W147" s="390"/>
      <c r="X147" s="390"/>
    </row>
    <row r="148" spans="1:24" s="350" customFormat="1" x14ac:dyDescent="0.25">
      <c r="A148" s="382"/>
      <c r="B148" s="569"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x14ac:dyDescent="0.25">
      <c r="A149" s="381"/>
      <c r="B149" s="363" t="s">
        <v>488</v>
      </c>
      <c r="C149" s="318">
        <v>2000</v>
      </c>
      <c r="D149" s="336">
        <f>'показники І кв'!D149+744</f>
        <v>1374</v>
      </c>
      <c r="E149" s="332">
        <f t="shared" ref="E149:E159" si="6">D149-C149</f>
        <v>-626</v>
      </c>
      <c r="F149" s="332">
        <f t="shared" ref="F149:F159" si="7">D149/C149*100</f>
        <v>68.7</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x14ac:dyDescent="0.25">
      <c r="A150" s="382"/>
      <c r="B150" s="569" t="s">
        <v>125</v>
      </c>
      <c r="C150" s="447"/>
      <c r="D150" s="447"/>
      <c r="E150" s="332"/>
      <c r="F150" s="33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x14ac:dyDescent="0.25">
      <c r="A151" s="381"/>
      <c r="B151" s="363" t="s">
        <v>489</v>
      </c>
      <c r="C151" s="318">
        <v>1000</v>
      </c>
      <c r="D151" s="336">
        <f>'показники І кв'!D151+399</f>
        <v>1047</v>
      </c>
      <c r="E151" s="332">
        <f t="shared" si="6"/>
        <v>47</v>
      </c>
      <c r="F151" s="332">
        <f t="shared" si="7"/>
        <v>104.69999999999999</v>
      </c>
      <c r="G151" s="443" t="s">
        <v>791</v>
      </c>
      <c r="H151" s="389"/>
      <c r="I151" s="390"/>
      <c r="J151" s="390"/>
      <c r="K151" s="390"/>
      <c r="L151" s="390"/>
      <c r="M151" s="390"/>
      <c r="N151" s="390"/>
      <c r="O151" s="390"/>
      <c r="P151" s="390"/>
      <c r="Q151" s="390"/>
      <c r="R151" s="390"/>
      <c r="S151" s="390"/>
      <c r="T151" s="390"/>
      <c r="U151" s="390"/>
      <c r="V151" s="390"/>
      <c r="W151" s="390"/>
      <c r="X151" s="390"/>
    </row>
    <row r="152" spans="1:24" s="350" customFormat="1" x14ac:dyDescent="0.25">
      <c r="A152" s="382"/>
      <c r="B152" s="569" t="s">
        <v>126</v>
      </c>
      <c r="C152" s="447"/>
      <c r="D152" s="447"/>
      <c r="E152" s="332"/>
      <c r="F152" s="332"/>
      <c r="G152" s="570"/>
      <c r="H152" s="571"/>
      <c r="I152" s="572"/>
      <c r="J152" s="572"/>
      <c r="K152" s="572"/>
      <c r="L152" s="572"/>
      <c r="M152" s="572"/>
      <c r="N152" s="572"/>
      <c r="O152" s="572"/>
      <c r="P152" s="572"/>
      <c r="Q152" s="572"/>
      <c r="R152" s="572"/>
      <c r="S152" s="572"/>
      <c r="T152" s="572"/>
      <c r="U152" s="572"/>
      <c r="V152" s="572"/>
      <c r="W152" s="572"/>
      <c r="X152" s="572"/>
    </row>
    <row r="153" spans="1:24" s="341" customFormat="1" ht="47.25" x14ac:dyDescent="0.25">
      <c r="A153" s="381"/>
      <c r="B153" s="363" t="s">
        <v>490</v>
      </c>
      <c r="C153" s="318">
        <v>75</v>
      </c>
      <c r="D153" s="336">
        <f>'показники І кв'!D153+154</f>
        <v>272</v>
      </c>
      <c r="E153" s="525">
        <f t="shared" si="6"/>
        <v>197</v>
      </c>
      <c r="F153" s="332">
        <f t="shared" si="7"/>
        <v>362.66666666666663</v>
      </c>
      <c r="G153" s="443" t="s">
        <v>603</v>
      </c>
      <c r="H153" s="389"/>
      <c r="I153" s="390"/>
      <c r="J153" s="390"/>
      <c r="K153" s="390"/>
      <c r="L153" s="390"/>
      <c r="M153" s="390"/>
      <c r="N153" s="390"/>
      <c r="O153" s="390"/>
      <c r="P153" s="390"/>
      <c r="Q153" s="390"/>
      <c r="R153" s="390"/>
      <c r="S153" s="390"/>
      <c r="T153" s="390"/>
      <c r="U153" s="390"/>
      <c r="V153" s="390"/>
      <c r="W153" s="390"/>
      <c r="X153" s="390"/>
    </row>
    <row r="154" spans="1:24" s="350" customFormat="1" x14ac:dyDescent="0.25">
      <c r="A154" s="382"/>
      <c r="B154" s="569" t="s">
        <v>127</v>
      </c>
      <c r="C154" s="447"/>
      <c r="D154" s="447"/>
      <c r="E154" s="332"/>
      <c r="F154" s="332"/>
      <c r="G154" s="570"/>
      <c r="H154" s="571"/>
      <c r="I154" s="572"/>
      <c r="J154" s="572"/>
      <c r="K154" s="572"/>
      <c r="L154" s="572"/>
      <c r="M154" s="572"/>
      <c r="N154" s="572"/>
      <c r="O154" s="572"/>
      <c r="P154" s="572"/>
      <c r="Q154" s="572"/>
      <c r="R154" s="572"/>
      <c r="S154" s="572"/>
      <c r="T154" s="572"/>
      <c r="U154" s="572"/>
      <c r="V154" s="572"/>
      <c r="W154" s="572"/>
      <c r="X154" s="572"/>
    </row>
    <row r="155" spans="1:24" s="341" customFormat="1" ht="47.25" x14ac:dyDescent="0.25">
      <c r="A155" s="381"/>
      <c r="B155" s="363" t="s">
        <v>491</v>
      </c>
      <c r="C155" s="318">
        <v>75</v>
      </c>
      <c r="D155" s="336">
        <f>'показники І кв'!D155+7</f>
        <v>59</v>
      </c>
      <c r="E155" s="332">
        <f t="shared" si="6"/>
        <v>-16</v>
      </c>
      <c r="F155" s="332">
        <f t="shared" si="7"/>
        <v>78.666666666666657</v>
      </c>
      <c r="G155" s="443" t="s">
        <v>603</v>
      </c>
      <c r="H155" s="389"/>
      <c r="I155" s="390"/>
      <c r="J155" s="390"/>
      <c r="K155" s="390"/>
      <c r="L155" s="390"/>
      <c r="M155" s="390"/>
      <c r="N155" s="390"/>
      <c r="O155" s="390"/>
      <c r="P155" s="390"/>
      <c r="Q155" s="390"/>
      <c r="R155" s="390"/>
      <c r="S155" s="390"/>
      <c r="T155" s="390"/>
      <c r="U155" s="390"/>
      <c r="V155" s="390"/>
      <c r="W155" s="390"/>
      <c r="X155" s="390"/>
    </row>
    <row r="156" spans="1:24" s="290" customFormat="1" x14ac:dyDescent="0.25">
      <c r="A156" s="573"/>
      <c r="B156" s="569"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x14ac:dyDescent="0.25">
      <c r="A157" s="381"/>
      <c r="B157" s="356" t="s">
        <v>492</v>
      </c>
      <c r="C157" s="318">
        <v>432</v>
      </c>
      <c r="D157" s="336">
        <f>'показники І кв'!D157+1505</f>
        <v>2620</v>
      </c>
      <c r="E157" s="525">
        <f t="shared" si="6"/>
        <v>2188</v>
      </c>
      <c r="F157" s="332">
        <f t="shared" si="7"/>
        <v>606.48148148148152</v>
      </c>
      <c r="G157" s="443" t="s">
        <v>719</v>
      </c>
      <c r="H157" s="340"/>
      <c r="I157" s="289"/>
      <c r="J157" s="289"/>
      <c r="K157" s="289"/>
      <c r="L157" s="289"/>
      <c r="M157" s="289"/>
      <c r="N157" s="289"/>
      <c r="O157" s="289"/>
      <c r="P157" s="289"/>
      <c r="Q157" s="289"/>
      <c r="R157" s="289"/>
      <c r="S157" s="289"/>
      <c r="T157" s="289"/>
      <c r="U157" s="289"/>
      <c r="V157" s="289"/>
      <c r="W157" s="289"/>
      <c r="X157" s="289"/>
    </row>
    <row r="158" spans="1:24" ht="47.25" x14ac:dyDescent="0.25">
      <c r="A158" s="209"/>
      <c r="B158" s="266" t="s">
        <v>493</v>
      </c>
      <c r="C158" s="330">
        <v>0.2</v>
      </c>
      <c r="D158" s="391">
        <f>D147/(D149+D151+D153+D155+D157)</f>
        <v>3.6187354802680566E-2</v>
      </c>
      <c r="E158" s="223">
        <f t="shared" si="6"/>
        <v>-0.16381264519731945</v>
      </c>
      <c r="F158" s="143">
        <f t="shared" si="7"/>
        <v>18.093677401340283</v>
      </c>
      <c r="G158" s="443" t="s">
        <v>787</v>
      </c>
    </row>
    <row r="159" spans="1:24" s="548" customFormat="1" ht="63" x14ac:dyDescent="0.25">
      <c r="A159" s="210"/>
      <c r="B159" s="445" t="s">
        <v>721</v>
      </c>
      <c r="C159" s="330">
        <v>55</v>
      </c>
      <c r="D159" s="391">
        <f>1148/(D149+D151+D153+D155+D157)*100</f>
        <v>21.37006701414743</v>
      </c>
      <c r="E159" s="219">
        <f t="shared" si="6"/>
        <v>-33.62993298585257</v>
      </c>
      <c r="F159" s="148">
        <f t="shared" si="7"/>
        <v>38.854667298449876</v>
      </c>
      <c r="G159" s="443" t="s">
        <v>720</v>
      </c>
      <c r="H159" s="546"/>
      <c r="I159" s="547"/>
      <c r="J159" s="547"/>
      <c r="K159" s="547"/>
      <c r="L159" s="547"/>
      <c r="M159" s="547"/>
      <c r="N159" s="547"/>
      <c r="O159" s="547"/>
      <c r="P159" s="547"/>
      <c r="Q159" s="547"/>
      <c r="R159" s="547"/>
      <c r="S159" s="547"/>
      <c r="T159" s="547"/>
      <c r="U159" s="547"/>
      <c r="V159" s="547"/>
      <c r="W159" s="547"/>
      <c r="X159" s="547"/>
    </row>
    <row r="160" spans="1:24" ht="36.75" customHeight="1" x14ac:dyDescent="0.25">
      <c r="A160" s="212" t="s">
        <v>343</v>
      </c>
      <c r="B160" s="1136" t="s">
        <v>495</v>
      </c>
      <c r="C160" s="1137"/>
      <c r="D160" s="1137"/>
      <c r="E160" s="1137"/>
      <c r="F160" s="1137"/>
      <c r="G160" s="1138"/>
    </row>
    <row r="161" spans="1:24" s="341" customFormat="1" x14ac:dyDescent="0.25">
      <c r="A161" s="384"/>
      <c r="B161" s="356" t="s">
        <v>249</v>
      </c>
      <c r="C161" s="330">
        <f>'звіт ІІ кв'!E63</f>
        <v>237.5</v>
      </c>
      <c r="D161" s="391">
        <f>'звіт ІІ кв'!I63</f>
        <v>0</v>
      </c>
      <c r="E161" s="346">
        <f>D161-C161</f>
        <v>-237.5</v>
      </c>
      <c r="F161" s="332">
        <f>D161/C161*100</f>
        <v>0</v>
      </c>
      <c r="G161" s="326" t="s">
        <v>792</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266" t="s">
        <v>496</v>
      </c>
      <c r="C162" s="318">
        <v>40</v>
      </c>
      <c r="D162" s="336">
        <v>27</v>
      </c>
      <c r="E162" s="143">
        <f>D162-C162</f>
        <v>-13</v>
      </c>
      <c r="F162" s="143">
        <f>D162/C162*100</f>
        <v>67.5</v>
      </c>
      <c r="G162" s="122" t="s">
        <v>661</v>
      </c>
    </row>
    <row r="163" spans="1:24" ht="31.5" x14ac:dyDescent="0.25">
      <c r="A163" s="209"/>
      <c r="B163" s="266" t="s">
        <v>497</v>
      </c>
      <c r="C163" s="330">
        <f>C161/C162</f>
        <v>5.9375</v>
      </c>
      <c r="D163" s="391">
        <f>D161/D162</f>
        <v>0</v>
      </c>
      <c r="E163" s="223">
        <f>D163-C163</f>
        <v>-5.9375</v>
      </c>
      <c r="F163" s="143">
        <f>D163/C163*100</f>
        <v>0</v>
      </c>
      <c r="G163" s="326" t="s">
        <v>793</v>
      </c>
    </row>
    <row r="164" spans="1:24" ht="84" customHeight="1" x14ac:dyDescent="0.25">
      <c r="A164" s="210"/>
      <c r="B164" s="266" t="s">
        <v>498</v>
      </c>
      <c r="C164" s="318">
        <v>95</v>
      </c>
      <c r="D164" s="351">
        <f>D162/31*100</f>
        <v>87.096774193548384</v>
      </c>
      <c r="E164" s="143">
        <f>D164-C164</f>
        <v>-7.9032258064516157</v>
      </c>
      <c r="F164" s="143">
        <f>D164/C164*100</f>
        <v>91.68081494057725</v>
      </c>
      <c r="G164" s="122" t="s">
        <v>661</v>
      </c>
    </row>
    <row r="165" spans="1:24" s="341" customFormat="1" x14ac:dyDescent="0.25">
      <c r="A165" s="586" t="s">
        <v>132</v>
      </c>
      <c r="B165" s="1220" t="s">
        <v>131</v>
      </c>
      <c r="C165" s="1221"/>
      <c r="D165" s="1221"/>
      <c r="E165" s="1218"/>
      <c r="F165" s="1218"/>
      <c r="G165" s="1219"/>
      <c r="H165" s="340"/>
      <c r="I165" s="289"/>
      <c r="J165" s="289"/>
      <c r="K165" s="289"/>
      <c r="L165" s="289"/>
      <c r="M165" s="289"/>
      <c r="N165" s="289"/>
      <c r="O165" s="289"/>
      <c r="P165" s="289"/>
      <c r="Q165" s="289"/>
      <c r="R165" s="289"/>
      <c r="S165" s="289"/>
      <c r="T165" s="289"/>
      <c r="U165" s="289"/>
      <c r="V165" s="289"/>
      <c r="W165" s="289"/>
      <c r="X165" s="289"/>
    </row>
    <row r="166" spans="1:24" s="149" customFormat="1" x14ac:dyDescent="0.25">
      <c r="A166" s="212" t="s">
        <v>135</v>
      </c>
      <c r="B166" s="1136" t="s">
        <v>499</v>
      </c>
      <c r="C166" s="1137"/>
      <c r="D166" s="1137"/>
      <c r="E166" s="1137"/>
      <c r="F166" s="1137"/>
      <c r="G166" s="1138"/>
      <c r="H166" s="319"/>
      <c r="I166" s="124"/>
      <c r="J166" s="124"/>
      <c r="K166" s="124"/>
      <c r="L166" s="124"/>
      <c r="M166" s="124"/>
      <c r="N166" s="124"/>
      <c r="O166" s="124"/>
      <c r="P166" s="124"/>
      <c r="Q166" s="124"/>
      <c r="R166" s="124"/>
      <c r="S166" s="124"/>
      <c r="T166" s="124"/>
      <c r="U166" s="124"/>
      <c r="V166" s="124"/>
      <c r="W166" s="124"/>
      <c r="X166" s="124"/>
    </row>
    <row r="167" spans="1:24" s="350" customFormat="1" ht="173.25" x14ac:dyDescent="0.25">
      <c r="A167" s="392"/>
      <c r="B167" s="337" t="s">
        <v>196</v>
      </c>
      <c r="C167" s="108">
        <f>'звіт ІІ кв'!E66</f>
        <v>188433.41999999998</v>
      </c>
      <c r="D167" s="108">
        <f>'звіт ІІ кв'!I65</f>
        <v>29571.5975</v>
      </c>
      <c r="E167" s="108">
        <f>D167-C167</f>
        <v>-158861.82249999998</v>
      </c>
      <c r="F167" s="360">
        <f>D167/C167*100</f>
        <v>15.693393188957671</v>
      </c>
      <c r="G167" s="325" t="s">
        <v>797</v>
      </c>
      <c r="H167" s="576"/>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529" t="s">
        <v>500</v>
      </c>
      <c r="C168" s="368"/>
      <c r="D168" s="368"/>
      <c r="E168" s="284"/>
      <c r="F168" s="191"/>
      <c r="G168" s="533"/>
      <c r="H168" s="319"/>
      <c r="I168" s="124"/>
      <c r="J168" s="124"/>
      <c r="K168" s="124"/>
      <c r="L168" s="124"/>
      <c r="M168" s="124"/>
      <c r="N168" s="124"/>
      <c r="O168" s="124"/>
      <c r="P168" s="124"/>
      <c r="Q168" s="124"/>
      <c r="R168" s="124"/>
      <c r="S168" s="124"/>
      <c r="T168" s="124"/>
      <c r="U168" s="124"/>
      <c r="V168" s="124"/>
      <c r="W168" s="124"/>
      <c r="X168" s="124"/>
    </row>
    <row r="169" spans="1:24" s="341" customFormat="1" ht="47.25" x14ac:dyDescent="0.25">
      <c r="A169" s="381"/>
      <c r="B169" s="337" t="s">
        <v>501</v>
      </c>
      <c r="C169" s="332">
        <v>15704</v>
      </c>
      <c r="D169" s="332">
        <v>9072</v>
      </c>
      <c r="E169" s="295">
        <f>D169-C169</f>
        <v>-6632</v>
      </c>
      <c r="F169" s="360">
        <f t="shared" ref="F169:F177" si="8">D169/C169*100</f>
        <v>57.768721344880284</v>
      </c>
      <c r="G169" s="326" t="s">
        <v>794</v>
      </c>
      <c r="H169" s="340"/>
      <c r="I169" s="289"/>
      <c r="J169" s="289"/>
      <c r="K169" s="289"/>
      <c r="L169" s="289"/>
      <c r="M169" s="289"/>
      <c r="N169" s="289"/>
      <c r="O169" s="289"/>
      <c r="P169" s="289"/>
      <c r="Q169" s="289"/>
      <c r="R169" s="289"/>
      <c r="S169" s="289"/>
      <c r="T169" s="289"/>
      <c r="U169" s="289"/>
      <c r="V169" s="289"/>
      <c r="W169" s="289"/>
      <c r="X169" s="289"/>
    </row>
    <row r="170" spans="1:24" s="551" customFormat="1" ht="63" x14ac:dyDescent="0.25">
      <c r="A170" s="381"/>
      <c r="B170" s="337" t="s">
        <v>502</v>
      </c>
      <c r="C170" s="332">
        <v>3000</v>
      </c>
      <c r="D170" s="332">
        <v>1046</v>
      </c>
      <c r="E170" s="108">
        <f>D170-C170</f>
        <v>-1954</v>
      </c>
      <c r="F170" s="360">
        <f t="shared" si="8"/>
        <v>34.866666666666667</v>
      </c>
      <c r="G170" s="443"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x14ac:dyDescent="0.25">
      <c r="A171" s="381"/>
      <c r="B171" s="337" t="s">
        <v>222</v>
      </c>
      <c r="C171" s="346">
        <f>C167/C169</f>
        <v>11.999071574121242</v>
      </c>
      <c r="D171" s="346">
        <f>D167/D169</f>
        <v>3.2596558090828922</v>
      </c>
      <c r="E171" s="108">
        <f>D171-C171</f>
        <v>-8.7394157650383502</v>
      </c>
      <c r="F171" s="360">
        <f t="shared" si="8"/>
        <v>27.165900202754766</v>
      </c>
      <c r="G171" s="326" t="s">
        <v>796</v>
      </c>
      <c r="H171" s="340"/>
      <c r="I171" s="289"/>
      <c r="J171" s="289"/>
      <c r="K171" s="289"/>
      <c r="L171" s="289"/>
      <c r="M171" s="289"/>
      <c r="N171" s="289"/>
      <c r="O171" s="289"/>
      <c r="P171" s="289"/>
      <c r="Q171" s="289"/>
      <c r="R171" s="289"/>
      <c r="S171" s="289"/>
      <c r="T171" s="289"/>
      <c r="U171" s="289"/>
      <c r="V171" s="289"/>
      <c r="W171" s="289"/>
      <c r="X171" s="289"/>
    </row>
    <row r="172" spans="1:24" s="341" customFormat="1" ht="63" x14ac:dyDescent="0.25">
      <c r="A172" s="381"/>
      <c r="B172" s="337" t="s">
        <v>503</v>
      </c>
      <c r="C172" s="346">
        <v>88</v>
      </c>
      <c r="D172" s="346">
        <f>D169/13237*100</f>
        <v>68.535166578529882</v>
      </c>
      <c r="E172" s="108">
        <f>D172-C172</f>
        <v>-19.464833421470118</v>
      </c>
      <c r="F172" s="360">
        <f t="shared" si="8"/>
        <v>77.880871111965774</v>
      </c>
      <c r="G172" s="443" t="s">
        <v>798</v>
      </c>
      <c r="H172" s="340"/>
      <c r="I172" s="289"/>
      <c r="J172" s="289"/>
      <c r="K172" s="289"/>
      <c r="L172" s="289"/>
      <c r="M172" s="289"/>
      <c r="N172" s="289"/>
      <c r="O172" s="289"/>
      <c r="P172" s="289"/>
      <c r="Q172" s="289"/>
      <c r="R172" s="289"/>
      <c r="S172" s="289"/>
      <c r="T172" s="289"/>
      <c r="U172" s="289"/>
      <c r="V172" s="289"/>
      <c r="W172" s="289"/>
      <c r="X172" s="289"/>
    </row>
    <row r="173" spans="1:24" ht="47.25" x14ac:dyDescent="0.25">
      <c r="A173" s="138"/>
      <c r="B173" s="529" t="s">
        <v>504</v>
      </c>
      <c r="C173" s="368"/>
      <c r="D173" s="368"/>
      <c r="E173" s="284"/>
      <c r="F173" s="191"/>
      <c r="G173" s="533"/>
    </row>
    <row r="174" spans="1:24" s="548" customFormat="1" ht="63" x14ac:dyDescent="0.25">
      <c r="A174" s="209"/>
      <c r="B174" s="539" t="s">
        <v>505</v>
      </c>
      <c r="C174" s="332">
        <v>2000</v>
      </c>
      <c r="D174" s="332">
        <v>9</v>
      </c>
      <c r="E174" s="327">
        <f>D174-C174</f>
        <v>-1991</v>
      </c>
      <c r="F174" s="191">
        <f t="shared" si="8"/>
        <v>0.44999999999999996</v>
      </c>
      <c r="G174" s="442"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x14ac:dyDescent="0.25">
      <c r="A175" s="209"/>
      <c r="B175" s="539" t="s">
        <v>506</v>
      </c>
      <c r="C175" s="412">
        <v>60</v>
      </c>
      <c r="D175" s="391">
        <f>D174*100/23</f>
        <v>39.130434782608695</v>
      </c>
      <c r="E175" s="203">
        <f>D175-C175</f>
        <v>-20.869565217391305</v>
      </c>
      <c r="F175" s="203">
        <f t="shared" si="8"/>
        <v>65.217391304347828</v>
      </c>
      <c r="G175" s="442" t="s">
        <v>800</v>
      </c>
      <c r="H175" s="546"/>
      <c r="I175" s="547"/>
      <c r="J175" s="547"/>
      <c r="K175" s="547"/>
      <c r="L175" s="547"/>
      <c r="M175" s="547"/>
      <c r="N175" s="547"/>
      <c r="O175" s="547"/>
      <c r="P175" s="547"/>
      <c r="Q175" s="547"/>
      <c r="R175" s="547"/>
      <c r="S175" s="547"/>
      <c r="T175" s="547"/>
      <c r="U175" s="547"/>
      <c r="V175" s="547"/>
      <c r="W175" s="547"/>
      <c r="X175" s="547"/>
    </row>
    <row r="176" spans="1:24" ht="31.5" x14ac:dyDescent="0.25">
      <c r="A176" s="138"/>
      <c r="B176" s="529" t="s">
        <v>507</v>
      </c>
      <c r="C176" s="339"/>
      <c r="D176" s="332"/>
      <c r="E176" s="284"/>
      <c r="F176" s="191"/>
      <c r="G176" s="122"/>
    </row>
    <row r="177" spans="1:24" s="548" customFormat="1" ht="78.75" x14ac:dyDescent="0.25">
      <c r="A177" s="209"/>
      <c r="B177" s="539" t="s">
        <v>508</v>
      </c>
      <c r="C177" s="332">
        <v>9666</v>
      </c>
      <c r="D177" s="332">
        <v>1374</v>
      </c>
      <c r="E177" s="295">
        <f>D177-C177</f>
        <v>-8292</v>
      </c>
      <c r="F177" s="360">
        <f t="shared" si="8"/>
        <v>14.214773432650526</v>
      </c>
      <c r="G177" s="442" t="s">
        <v>801</v>
      </c>
      <c r="H177" s="546"/>
      <c r="I177" s="547"/>
      <c r="J177" s="547"/>
      <c r="K177" s="547"/>
      <c r="L177" s="547"/>
      <c r="M177" s="547"/>
      <c r="N177" s="547"/>
      <c r="O177" s="547"/>
      <c r="P177" s="547"/>
      <c r="Q177" s="547"/>
      <c r="R177" s="547"/>
      <c r="S177" s="547"/>
      <c r="T177" s="547"/>
      <c r="U177" s="547"/>
      <c r="V177" s="547"/>
      <c r="W177" s="547"/>
      <c r="X177" s="547"/>
    </row>
    <row r="178" spans="1:24" s="548" customFormat="1" ht="78.75" x14ac:dyDescent="0.25">
      <c r="A178" s="209"/>
      <c r="B178" s="285" t="s">
        <v>509</v>
      </c>
      <c r="C178" s="334">
        <v>54</v>
      </c>
      <c r="D178" s="334">
        <f>D177*100/D169</f>
        <v>15.145502645502646</v>
      </c>
      <c r="E178" s="108">
        <f>D178-C178</f>
        <v>-38.854497354497354</v>
      </c>
      <c r="F178" s="360">
        <f>D178/C178*100</f>
        <v>28.047227121301194</v>
      </c>
      <c r="G178" s="451" t="s">
        <v>802</v>
      </c>
      <c r="H178" s="546"/>
      <c r="I178" s="547"/>
      <c r="J178" s="547"/>
      <c r="K178" s="547"/>
      <c r="L178" s="547"/>
      <c r="M178" s="547"/>
      <c r="N178" s="547"/>
      <c r="O178" s="547"/>
      <c r="P178" s="547"/>
      <c r="Q178" s="547"/>
      <c r="R178" s="547"/>
      <c r="S178" s="547"/>
      <c r="T178" s="547"/>
      <c r="U178" s="547"/>
      <c r="V178" s="547"/>
      <c r="W178" s="547"/>
      <c r="X178" s="547"/>
    </row>
    <row r="179" spans="1:24" ht="31.5" customHeight="1" x14ac:dyDescent="0.25">
      <c r="A179" s="225" t="s">
        <v>362</v>
      </c>
      <c r="B179" s="1136" t="s">
        <v>587</v>
      </c>
      <c r="C179" s="1137"/>
      <c r="D179" s="1137"/>
      <c r="E179" s="1137"/>
      <c r="F179" s="1137"/>
      <c r="G179" s="1138"/>
    </row>
    <row r="180" spans="1:24" ht="19.5" hidden="1" customHeight="1" x14ac:dyDescent="0.25">
      <c r="A180" s="137"/>
      <c r="B180" s="533" t="s">
        <v>588</v>
      </c>
      <c r="C180" s="292"/>
      <c r="D180" s="292"/>
      <c r="E180" s="533"/>
      <c r="F180" s="533"/>
      <c r="G180" s="533"/>
    </row>
    <row r="181" spans="1:24" hidden="1" x14ac:dyDescent="0.25">
      <c r="A181" s="138"/>
      <c r="B181" s="285" t="s">
        <v>590</v>
      </c>
      <c r="C181" s="395">
        <v>0</v>
      </c>
      <c r="D181" s="328">
        <v>0</v>
      </c>
      <c r="E181" s="284">
        <v>0</v>
      </c>
      <c r="F181" s="191">
        <v>0</v>
      </c>
      <c r="G181" s="286"/>
    </row>
    <row r="182" spans="1:24" ht="31.5" hidden="1" x14ac:dyDescent="0.25">
      <c r="A182" s="138"/>
      <c r="B182" s="285" t="s">
        <v>591</v>
      </c>
      <c r="C182" s="396">
        <v>0</v>
      </c>
      <c r="D182" s="328"/>
      <c r="E182" s="284"/>
      <c r="F182" s="191"/>
      <c r="G182" s="286"/>
    </row>
    <row r="183" spans="1:24" ht="31.5" hidden="1" x14ac:dyDescent="0.25">
      <c r="A183" s="138"/>
      <c r="B183" s="285" t="s">
        <v>592</v>
      </c>
      <c r="C183" s="395">
        <v>0</v>
      </c>
      <c r="D183" s="328"/>
      <c r="E183" s="284"/>
      <c r="F183" s="191"/>
      <c r="G183" s="286"/>
    </row>
    <row r="184" spans="1:24" ht="31.5" hidden="1" x14ac:dyDescent="0.25">
      <c r="A184" s="138"/>
      <c r="B184" s="285" t="s">
        <v>593</v>
      </c>
      <c r="C184" s="396">
        <v>0</v>
      </c>
      <c r="D184" s="328"/>
      <c r="E184" s="284"/>
      <c r="F184" s="191"/>
      <c r="G184" s="286"/>
    </row>
    <row r="185" spans="1:24" s="548" customFormat="1" ht="42" customHeight="1" x14ac:dyDescent="0.25">
      <c r="A185" s="209"/>
      <c r="B185" s="541" t="s">
        <v>589</v>
      </c>
      <c r="C185" s="328"/>
      <c r="D185" s="328"/>
      <c r="E185" s="284"/>
      <c r="F185" s="191"/>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x14ac:dyDescent="0.25">
      <c r="A186" s="209"/>
      <c r="B186" s="285" t="s">
        <v>594</v>
      </c>
      <c r="C186" s="334">
        <f>'звіт ІІ кв'!E71</f>
        <v>300</v>
      </c>
      <c r="D186" s="334">
        <f>'звіт ІІ кв'!L71</f>
        <v>0</v>
      </c>
      <c r="E186" s="284">
        <f>D186-C186</f>
        <v>-300</v>
      </c>
      <c r="F186" s="191">
        <f>D186/C186*100</f>
        <v>0</v>
      </c>
      <c r="G186" s="442"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x14ac:dyDescent="0.25">
      <c r="A187" s="209"/>
      <c r="B187" s="285" t="s">
        <v>595</v>
      </c>
      <c r="C187" s="328">
        <v>10</v>
      </c>
      <c r="D187" s="328">
        <v>0</v>
      </c>
      <c r="E187" s="327">
        <f>D187-C187</f>
        <v>-10</v>
      </c>
      <c r="F187" s="191">
        <f>D187/C187*100</f>
        <v>0</v>
      </c>
      <c r="G187" s="442"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x14ac:dyDescent="0.25">
      <c r="A188" s="209"/>
      <c r="B188" s="285" t="s">
        <v>596</v>
      </c>
      <c r="C188" s="334">
        <f>C186/C187</f>
        <v>30</v>
      </c>
      <c r="D188" s="334">
        <v>0</v>
      </c>
      <c r="E188" s="284">
        <f>D188-C188</f>
        <v>-30</v>
      </c>
      <c r="F188" s="191">
        <f>D188/C188*100</f>
        <v>0</v>
      </c>
      <c r="G188" s="442"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x14ac:dyDescent="0.25">
      <c r="A189" s="209"/>
      <c r="B189" s="285" t="s">
        <v>597</v>
      </c>
      <c r="C189" s="328">
        <v>100</v>
      </c>
      <c r="D189" s="328">
        <v>0</v>
      </c>
      <c r="E189" s="327">
        <f>D189-C189</f>
        <v>-100</v>
      </c>
      <c r="F189" s="191">
        <f>D189/C189*100</f>
        <v>0</v>
      </c>
      <c r="G189" s="442" t="s">
        <v>804</v>
      </c>
      <c r="H189" s="546"/>
      <c r="I189" s="547"/>
      <c r="J189" s="547"/>
      <c r="K189" s="547"/>
      <c r="L189" s="547"/>
      <c r="M189" s="547"/>
      <c r="N189" s="547"/>
      <c r="O189" s="547"/>
      <c r="P189" s="547"/>
      <c r="Q189" s="547"/>
      <c r="R189" s="547"/>
      <c r="S189" s="547"/>
      <c r="T189" s="547"/>
      <c r="U189" s="547"/>
      <c r="V189" s="547"/>
      <c r="W189" s="547"/>
      <c r="X189" s="547"/>
    </row>
    <row r="190" spans="1:24" ht="33" customHeight="1" x14ac:dyDescent="0.25">
      <c r="A190" s="225" t="s">
        <v>367</v>
      </c>
      <c r="B190" s="1136" t="s">
        <v>510</v>
      </c>
      <c r="C190" s="1137"/>
      <c r="D190" s="1137"/>
      <c r="E190" s="1137"/>
      <c r="F190" s="1137"/>
      <c r="G190" s="1138"/>
    </row>
    <row r="191" spans="1:24" s="341" customFormat="1" ht="31.5" x14ac:dyDescent="0.25">
      <c r="A191" s="393"/>
      <c r="B191" s="394" t="s">
        <v>516</v>
      </c>
      <c r="C191" s="334">
        <f>'звіт ІІ кв'!E72</f>
        <v>420</v>
      </c>
      <c r="D191" s="334">
        <f>'звіт ІІ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285" t="s">
        <v>511</v>
      </c>
      <c r="C192" s="328">
        <v>15</v>
      </c>
      <c r="D192" s="328">
        <v>12</v>
      </c>
      <c r="E192" s="329">
        <f>D192-C192</f>
        <v>-3</v>
      </c>
      <c r="F192" s="329">
        <f>D192/C192*100</f>
        <v>80</v>
      </c>
      <c r="G192" s="442" t="s">
        <v>805</v>
      </c>
    </row>
    <row r="193" spans="1:24" ht="47.25" x14ac:dyDescent="0.25">
      <c r="A193" s="138"/>
      <c r="B193" s="285" t="s">
        <v>512</v>
      </c>
      <c r="C193" s="334">
        <f>C191/C192</f>
        <v>28</v>
      </c>
      <c r="D193" s="334">
        <f>D191/D192</f>
        <v>0</v>
      </c>
      <c r="E193" s="335">
        <f>D193-C193</f>
        <v>-28</v>
      </c>
      <c r="F193" s="329">
        <f>D193/C193*100</f>
        <v>0</v>
      </c>
      <c r="G193" s="452" t="s">
        <v>606</v>
      </c>
    </row>
    <row r="194" spans="1:24" s="548" customFormat="1" ht="47.25" x14ac:dyDescent="0.25">
      <c r="A194" s="209"/>
      <c r="B194" s="285" t="s">
        <v>513</v>
      </c>
      <c r="C194" s="419">
        <v>27</v>
      </c>
      <c r="D194" s="419">
        <f>584/9072*100</f>
        <v>6.4373897707231036</v>
      </c>
      <c r="E194" s="528">
        <f>D194-C194</f>
        <v>-20.562610229276896</v>
      </c>
      <c r="F194" s="329">
        <f>D194/C194*100</f>
        <v>23.842184336011496</v>
      </c>
      <c r="G194" s="442" t="s">
        <v>806</v>
      </c>
      <c r="H194" s="546"/>
      <c r="I194" s="547"/>
      <c r="J194" s="547"/>
      <c r="K194" s="547"/>
      <c r="L194" s="547"/>
      <c r="M194" s="547"/>
      <c r="N194" s="547"/>
      <c r="O194" s="547"/>
      <c r="P194" s="547"/>
      <c r="Q194" s="547"/>
      <c r="R194" s="547"/>
      <c r="S194" s="547"/>
      <c r="T194" s="547"/>
      <c r="U194" s="547"/>
      <c r="V194" s="547"/>
      <c r="W194" s="547"/>
      <c r="X194" s="547"/>
    </row>
    <row r="195" spans="1:24" ht="33.75" customHeight="1" x14ac:dyDescent="0.25">
      <c r="A195" s="225" t="s">
        <v>514</v>
      </c>
      <c r="B195" s="1136" t="s">
        <v>515</v>
      </c>
      <c r="C195" s="1137"/>
      <c r="D195" s="1137"/>
      <c r="E195" s="1137"/>
      <c r="F195" s="1137"/>
      <c r="G195" s="1138"/>
    </row>
    <row r="196" spans="1:24" s="341" customFormat="1" ht="94.5" x14ac:dyDescent="0.25">
      <c r="A196" s="393"/>
      <c r="B196" s="394" t="s">
        <v>517</v>
      </c>
      <c r="C196" s="334">
        <f>'звіт ІІ кв'!E73</f>
        <v>6841</v>
      </c>
      <c r="D196" s="334">
        <f>'звіт ІІ кв'!I73</f>
        <v>1943.518</v>
      </c>
      <c r="E196" s="328">
        <f>D196-C196</f>
        <v>-4897.482</v>
      </c>
      <c r="F196" s="328">
        <f>D196/C196*100</f>
        <v>28.409852360765971</v>
      </c>
      <c r="G196" s="325" t="s">
        <v>807</v>
      </c>
      <c r="H196" s="340"/>
      <c r="I196" s="289"/>
      <c r="J196" s="289"/>
      <c r="K196" s="289"/>
      <c r="L196" s="289"/>
      <c r="M196" s="289"/>
      <c r="N196" s="289"/>
      <c r="O196" s="289"/>
      <c r="P196" s="289"/>
      <c r="Q196" s="289"/>
      <c r="R196" s="289"/>
      <c r="S196" s="289"/>
      <c r="T196" s="289"/>
      <c r="U196" s="289"/>
      <c r="V196" s="289"/>
      <c r="W196" s="289"/>
      <c r="X196" s="289"/>
    </row>
    <row r="197" spans="1:24" s="341" customFormat="1" ht="31.5" x14ac:dyDescent="0.25">
      <c r="A197" s="393"/>
      <c r="B197" s="394" t="s">
        <v>518</v>
      </c>
      <c r="C197" s="328">
        <v>8950</v>
      </c>
      <c r="D197" s="328">
        <v>2093</v>
      </c>
      <c r="E197" s="328">
        <f>D197-C197</f>
        <v>-6857</v>
      </c>
      <c r="F197" s="328">
        <f>D197/C197*100</f>
        <v>23.385474860335194</v>
      </c>
      <c r="G197" s="443" t="s">
        <v>808</v>
      </c>
      <c r="H197" s="340"/>
      <c r="I197" s="289"/>
      <c r="J197" s="289"/>
      <c r="K197" s="289"/>
      <c r="L197" s="289"/>
      <c r="M197" s="289"/>
      <c r="N197" s="289"/>
      <c r="O197" s="289"/>
      <c r="P197" s="289"/>
      <c r="Q197" s="289"/>
      <c r="R197" s="289"/>
      <c r="S197" s="289"/>
      <c r="T197" s="289"/>
      <c r="U197" s="289"/>
      <c r="V197" s="289"/>
      <c r="W197" s="289"/>
      <c r="X197" s="289"/>
    </row>
    <row r="198" spans="1:24" s="341" customFormat="1" ht="31.5" x14ac:dyDescent="0.25">
      <c r="A198" s="393"/>
      <c r="B198" s="394" t="s">
        <v>519</v>
      </c>
      <c r="C198" s="334">
        <f>C196/C197</f>
        <v>0.76435754189944138</v>
      </c>
      <c r="D198" s="334">
        <f>D196/D197</f>
        <v>0.92858002866698519</v>
      </c>
      <c r="E198" s="577">
        <f>D198-C198</f>
        <v>0.16422248676754381</v>
      </c>
      <c r="F198" s="328">
        <f>D198/C198*100</f>
        <v>121.48503517862179</v>
      </c>
      <c r="G198" s="443" t="s">
        <v>808</v>
      </c>
      <c r="H198" s="340"/>
      <c r="I198" s="289"/>
      <c r="J198" s="289"/>
      <c r="K198" s="289"/>
      <c r="L198" s="289"/>
      <c r="M198" s="289"/>
      <c r="N198" s="289"/>
      <c r="O198" s="289"/>
      <c r="P198" s="289"/>
      <c r="Q198" s="289"/>
      <c r="R198" s="289"/>
      <c r="S198" s="289"/>
      <c r="T198" s="289"/>
      <c r="U198" s="289"/>
      <c r="V198" s="289"/>
      <c r="W198" s="289"/>
      <c r="X198" s="289"/>
    </row>
    <row r="199" spans="1:24" s="341" customFormat="1" ht="63" x14ac:dyDescent="0.25">
      <c r="A199" s="393"/>
      <c r="B199" s="394" t="s">
        <v>520</v>
      </c>
      <c r="C199" s="419">
        <v>50</v>
      </c>
      <c r="D199" s="419">
        <f>D197/13237*100</f>
        <v>15.811739820200952</v>
      </c>
      <c r="E199" s="419">
        <f>D199-C199</f>
        <v>-34.188260179799045</v>
      </c>
      <c r="F199" s="328">
        <f>D199/C199*100</f>
        <v>31.623479640401904</v>
      </c>
      <c r="G199" s="443" t="s">
        <v>809</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x14ac:dyDescent="0.25">
      <c r="A200" s="291" t="s">
        <v>379</v>
      </c>
      <c r="B200" s="1186" t="s">
        <v>154</v>
      </c>
      <c r="C200" s="1187"/>
      <c r="D200" s="1187"/>
      <c r="E200" s="1187"/>
      <c r="F200" s="1187"/>
      <c r="G200" s="1188"/>
      <c r="H200" s="324"/>
      <c r="I200" s="289"/>
      <c r="J200" s="587"/>
      <c r="K200" s="289"/>
      <c r="L200" s="289"/>
      <c r="M200" s="289"/>
      <c r="N200" s="288"/>
      <c r="O200" s="288"/>
      <c r="P200" s="288"/>
      <c r="Q200" s="288"/>
      <c r="R200" s="288"/>
      <c r="S200" s="288"/>
      <c r="T200" s="288"/>
      <c r="U200" s="288"/>
      <c r="V200" s="288"/>
      <c r="W200" s="288"/>
      <c r="X200" s="288"/>
    </row>
    <row r="201" spans="1:24" s="290" customFormat="1" ht="126" x14ac:dyDescent="0.25">
      <c r="A201" s="291"/>
      <c r="B201" s="293" t="s">
        <v>521</v>
      </c>
      <c r="C201" s="108">
        <f>'звіт ІІ кв'!E75</f>
        <v>58952.05</v>
      </c>
      <c r="D201" s="108">
        <v>13280.322069999998</v>
      </c>
      <c r="E201" s="108">
        <f>D201-C201</f>
        <v>-45671.727930000008</v>
      </c>
      <c r="F201" s="360">
        <f>D201/C201*100</f>
        <v>22.527328684922743</v>
      </c>
      <c r="G201" s="325" t="s">
        <v>810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41" t="s">
        <v>156</v>
      </c>
      <c r="C202" s="1142"/>
      <c r="D202" s="1142"/>
      <c r="E202" s="1142"/>
      <c r="F202" s="1142"/>
      <c r="G202" s="1143"/>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x14ac:dyDescent="0.25">
      <c r="A203" s="235"/>
      <c r="B203" s="542" t="s">
        <v>522</v>
      </c>
      <c r="C203" s="292"/>
      <c r="D203" s="292"/>
      <c r="E203" s="542"/>
      <c r="F203" s="542"/>
      <c r="G203" s="542"/>
      <c r="H203" s="578"/>
      <c r="I203" s="547"/>
      <c r="J203" s="547"/>
      <c r="K203" s="547"/>
      <c r="L203" s="547"/>
      <c r="M203" s="547"/>
      <c r="N203" s="579"/>
      <c r="O203" s="579"/>
      <c r="P203" s="579"/>
      <c r="Q203" s="579"/>
      <c r="R203" s="579"/>
      <c r="S203" s="579"/>
      <c r="T203" s="579"/>
      <c r="U203" s="579"/>
      <c r="V203" s="579"/>
      <c r="W203" s="579"/>
      <c r="X203" s="579"/>
    </row>
    <row r="204" spans="1:24" s="580" customFormat="1" ht="47.25" x14ac:dyDescent="0.25">
      <c r="A204" s="235"/>
      <c r="B204" s="193" t="s">
        <v>523</v>
      </c>
      <c r="C204" s="318">
        <v>13600</v>
      </c>
      <c r="D204" s="318">
        <f>3866+461</f>
        <v>4327</v>
      </c>
      <c r="E204" s="191">
        <f>D204-C204</f>
        <v>-9273</v>
      </c>
      <c r="F204" s="147">
        <f>D204/C204*100</f>
        <v>31.816176470588236</v>
      </c>
      <c r="G204" s="452" t="s">
        <v>811</v>
      </c>
      <c r="H204" s="578"/>
      <c r="I204" s="547"/>
      <c r="J204" s="547"/>
      <c r="K204" s="547"/>
      <c r="L204" s="547"/>
      <c r="M204" s="547"/>
      <c r="N204" s="579"/>
      <c r="O204" s="579"/>
      <c r="P204" s="579"/>
      <c r="Q204" s="579"/>
      <c r="R204" s="579"/>
      <c r="S204" s="579"/>
      <c r="T204" s="579"/>
      <c r="U204" s="579"/>
      <c r="V204" s="579"/>
      <c r="W204" s="579"/>
      <c r="X204" s="579"/>
    </row>
    <row r="205" spans="1:24" s="580" customFormat="1" ht="47.25" x14ac:dyDescent="0.25">
      <c r="A205" s="235"/>
      <c r="B205" s="193" t="s">
        <v>524</v>
      </c>
      <c r="C205" s="318">
        <v>15000</v>
      </c>
      <c r="D205" s="318">
        <f>1510+4997</f>
        <v>6507</v>
      </c>
      <c r="E205" s="191">
        <f t="shared" ref="E205:E215" si="9">D205-C205</f>
        <v>-8493</v>
      </c>
      <c r="F205" s="192">
        <f t="shared" ref="F205:F215" si="10">D205/C205*100</f>
        <v>43.38</v>
      </c>
      <c r="G205" s="452" t="s">
        <v>811</v>
      </c>
      <c r="H205" s="578"/>
      <c r="I205" s="547"/>
      <c r="J205" s="547"/>
      <c r="K205" s="547"/>
      <c r="L205" s="547"/>
      <c r="M205" s="547"/>
      <c r="N205" s="579"/>
      <c r="O205" s="579"/>
      <c r="P205" s="579"/>
      <c r="Q205" s="579"/>
      <c r="R205" s="579"/>
      <c r="S205" s="579"/>
      <c r="T205" s="579"/>
      <c r="U205" s="579"/>
      <c r="V205" s="579"/>
      <c r="W205" s="579"/>
      <c r="X205" s="579"/>
    </row>
    <row r="206" spans="1:24" s="580" customFormat="1" x14ac:dyDescent="0.25">
      <c r="A206" s="235"/>
      <c r="B206" s="542" t="s">
        <v>525</v>
      </c>
      <c r="C206" s="368"/>
      <c r="D206" s="318"/>
      <c r="E206" s="191"/>
      <c r="F206" s="191"/>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x14ac:dyDescent="0.25">
      <c r="A207" s="235"/>
      <c r="B207" s="294" t="s">
        <v>529</v>
      </c>
      <c r="C207" s="421">
        <v>15000</v>
      </c>
      <c r="D207" s="318">
        <f>6091+3883</f>
        <v>9974</v>
      </c>
      <c r="E207" s="191">
        <f t="shared" si="9"/>
        <v>-5026</v>
      </c>
      <c r="F207" s="192">
        <f t="shared" si="10"/>
        <v>66.493333333333339</v>
      </c>
      <c r="G207" s="452" t="s">
        <v>811</v>
      </c>
      <c r="H207" s="581"/>
      <c r="I207" s="582"/>
      <c r="J207" s="582"/>
      <c r="K207" s="582"/>
      <c r="L207" s="582"/>
      <c r="M207" s="582"/>
      <c r="N207" s="583"/>
      <c r="O207" s="583"/>
      <c r="P207" s="583"/>
      <c r="Q207" s="583"/>
      <c r="R207" s="583"/>
      <c r="S207" s="583"/>
      <c r="T207" s="583"/>
      <c r="U207" s="583"/>
      <c r="V207" s="583"/>
      <c r="W207" s="583"/>
      <c r="X207" s="583"/>
    </row>
    <row r="208" spans="1:24" s="580" customFormat="1" x14ac:dyDescent="0.25">
      <c r="A208" s="235"/>
      <c r="B208" s="542" t="s">
        <v>528</v>
      </c>
      <c r="C208" s="368"/>
      <c r="D208" s="318"/>
      <c r="E208" s="191"/>
      <c r="F208" s="191"/>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x14ac:dyDescent="0.25">
      <c r="A209" s="235"/>
      <c r="B209" s="279" t="s">
        <v>530</v>
      </c>
      <c r="C209" s="422">
        <v>35800</v>
      </c>
      <c r="D209" s="318">
        <v>9830</v>
      </c>
      <c r="E209" s="191">
        <f t="shared" si="9"/>
        <v>-25970</v>
      </c>
      <c r="F209" s="192">
        <f t="shared" si="10"/>
        <v>27.458100558659215</v>
      </c>
      <c r="G209" s="452" t="s">
        <v>811</v>
      </c>
      <c r="H209" s="581"/>
      <c r="I209" s="582"/>
      <c r="J209" s="582"/>
      <c r="K209" s="582"/>
      <c r="L209" s="582"/>
      <c r="M209" s="582"/>
      <c r="N209" s="583"/>
      <c r="O209" s="583"/>
      <c r="P209" s="583"/>
      <c r="Q209" s="583"/>
      <c r="R209" s="583"/>
      <c r="S209" s="583"/>
      <c r="T209" s="583"/>
      <c r="U209" s="583"/>
      <c r="V209" s="583"/>
      <c r="W209" s="583"/>
      <c r="X209" s="583"/>
    </row>
    <row r="210" spans="1:24" s="580" customFormat="1" x14ac:dyDescent="0.25">
      <c r="A210" s="235"/>
      <c r="B210" s="542" t="s">
        <v>526</v>
      </c>
      <c r="C210" s="368"/>
      <c r="D210" s="318"/>
      <c r="E210" s="191"/>
      <c r="F210" s="191"/>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x14ac:dyDescent="0.25">
      <c r="A211" s="235"/>
      <c r="B211" s="279" t="s">
        <v>531</v>
      </c>
      <c r="C211" s="422">
        <v>35800</v>
      </c>
      <c r="D211" s="318">
        <v>5642</v>
      </c>
      <c r="E211" s="191">
        <f t="shared" si="9"/>
        <v>-30158</v>
      </c>
      <c r="F211" s="192">
        <f t="shared" si="10"/>
        <v>15.759776536312851</v>
      </c>
      <c r="G211" s="193" t="s">
        <v>811</v>
      </c>
      <c r="H211" s="581"/>
      <c r="I211" s="582"/>
      <c r="J211" s="582"/>
      <c r="K211" s="582"/>
      <c r="L211" s="582"/>
      <c r="M211" s="582"/>
      <c r="N211" s="583"/>
      <c r="O211" s="583"/>
      <c r="P211" s="583"/>
      <c r="Q211" s="583"/>
      <c r="R211" s="583"/>
      <c r="S211" s="583"/>
      <c r="T211" s="583"/>
      <c r="U211" s="583"/>
      <c r="V211" s="583"/>
      <c r="W211" s="583"/>
      <c r="X211" s="583"/>
    </row>
    <row r="212" spans="1:24" s="198" customFormat="1" ht="31.5" x14ac:dyDescent="0.25">
      <c r="A212" s="235"/>
      <c r="B212" s="533"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532" t="s">
        <v>533</v>
      </c>
      <c r="C214" s="330">
        <v>3.75</v>
      </c>
      <c r="D214" s="330">
        <f>D201/D169</f>
        <v>1.4638802987213402</v>
      </c>
      <c r="E214" s="203">
        <f t="shared" si="9"/>
        <v>-2.2861197012786598</v>
      </c>
      <c r="F214" s="192">
        <f t="shared" si="10"/>
        <v>39.036807965902405</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532" t="s">
        <v>534</v>
      </c>
      <c r="C215" s="318">
        <v>90</v>
      </c>
      <c r="D215" s="318">
        <v>77</v>
      </c>
      <c r="E215" s="584">
        <f t="shared" si="9"/>
        <v>-13</v>
      </c>
      <c r="F215" s="192">
        <f t="shared" si="10"/>
        <v>85.555555555555557</v>
      </c>
      <c r="G215" s="325" t="s">
        <v>812</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41" t="s">
        <v>535</v>
      </c>
      <c r="C216" s="1142"/>
      <c r="D216" s="1142"/>
      <c r="E216" s="1142"/>
      <c r="F216" s="1142"/>
      <c r="G216" s="1143"/>
    </row>
    <row r="217" spans="1:24" ht="82.5" customHeight="1" x14ac:dyDescent="0.25">
      <c r="A217" s="213"/>
      <c r="B217" s="534" t="s">
        <v>536</v>
      </c>
      <c r="C217" s="332">
        <v>1680</v>
      </c>
      <c r="D217" s="332">
        <v>944</v>
      </c>
      <c r="E217" s="143">
        <f>D217-C217</f>
        <v>-736</v>
      </c>
      <c r="F217" s="143">
        <f>D217/C217*100</f>
        <v>56.19047619047619</v>
      </c>
      <c r="G217" s="193" t="s">
        <v>813</v>
      </c>
    </row>
    <row r="218" spans="1:24" ht="110.25" x14ac:dyDescent="0.25">
      <c r="A218" s="210"/>
      <c r="B218" s="534" t="s">
        <v>537</v>
      </c>
      <c r="C218" s="336">
        <v>92</v>
      </c>
      <c r="D218" s="336" t="s">
        <v>653</v>
      </c>
      <c r="E218" s="143" t="s">
        <v>653</v>
      </c>
      <c r="F218" s="143" t="s">
        <v>653</v>
      </c>
      <c r="G218" s="442" t="s">
        <v>707</v>
      </c>
    </row>
    <row r="219" spans="1:24" ht="36.75" customHeight="1" x14ac:dyDescent="0.25">
      <c r="A219" s="208" t="s">
        <v>384</v>
      </c>
      <c r="B219" s="1136" t="s">
        <v>538</v>
      </c>
      <c r="C219" s="1137"/>
      <c r="D219" s="1137"/>
      <c r="E219" s="1137"/>
      <c r="F219" s="1137"/>
      <c r="G219" s="1138"/>
    </row>
    <row r="220" spans="1:24" s="341" customFormat="1" x14ac:dyDescent="0.25">
      <c r="A220" s="398"/>
      <c r="B220" s="453" t="s">
        <v>517</v>
      </c>
      <c r="C220" s="108">
        <f>'звіт 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318">
        <v>5</v>
      </c>
      <c r="D221" s="336">
        <v>0</v>
      </c>
      <c r="E221" s="117">
        <f>D221-C221</f>
        <v>-5</v>
      </c>
      <c r="F221" s="143">
        <f>D221/C221*100</f>
        <v>0</v>
      </c>
      <c r="G221" s="442" t="s">
        <v>685</v>
      </c>
    </row>
    <row r="222" spans="1:24" ht="31.5" x14ac:dyDescent="0.25">
      <c r="A222" s="207"/>
      <c r="B222" s="454" t="s">
        <v>676</v>
      </c>
      <c r="C222" s="318">
        <f>C220/C221</f>
        <v>57.6</v>
      </c>
      <c r="D222" s="391">
        <v>0</v>
      </c>
      <c r="E222" s="117">
        <f>D222-C222</f>
        <v>-57.6</v>
      </c>
      <c r="F222" s="143">
        <f>D222/C222*100</f>
        <v>0</v>
      </c>
      <c r="G222" s="442" t="s">
        <v>685</v>
      </c>
    </row>
    <row r="223" spans="1:24" ht="47.25" x14ac:dyDescent="0.25">
      <c r="A223" s="207"/>
      <c r="B223" s="454" t="s">
        <v>677</v>
      </c>
      <c r="C223" s="318">
        <v>16</v>
      </c>
      <c r="D223" s="336">
        <v>0</v>
      </c>
      <c r="E223" s="117">
        <f>D223-C223</f>
        <v>-16</v>
      </c>
      <c r="F223" s="143">
        <f>D223/C223*100</f>
        <v>0</v>
      </c>
      <c r="G223" s="442" t="s">
        <v>685</v>
      </c>
    </row>
    <row r="224" spans="1:24" x14ac:dyDescent="0.25">
      <c r="A224" s="211" t="s">
        <v>163</v>
      </c>
      <c r="B224" s="1133" t="s">
        <v>539</v>
      </c>
      <c r="C224" s="1134"/>
      <c r="D224" s="1134"/>
      <c r="E224" s="1134"/>
      <c r="F224" s="1134"/>
      <c r="G224" s="1135"/>
    </row>
    <row r="225" spans="1:7" ht="78.75" x14ac:dyDescent="0.25">
      <c r="A225" s="213"/>
      <c r="B225" s="534" t="s">
        <v>540</v>
      </c>
      <c r="C225" s="336">
        <v>20</v>
      </c>
      <c r="D225" s="336">
        <v>4</v>
      </c>
      <c r="E225" s="117">
        <f>D225-C225</f>
        <v>-16</v>
      </c>
      <c r="F225" s="143">
        <f>D225/C225*100</f>
        <v>20</v>
      </c>
      <c r="G225" s="442" t="s">
        <v>814</v>
      </c>
    </row>
    <row r="226" spans="1:7" ht="47.25" x14ac:dyDescent="0.25">
      <c r="A226" s="209"/>
      <c r="B226" s="534" t="s">
        <v>541</v>
      </c>
      <c r="C226" s="336">
        <v>100</v>
      </c>
      <c r="D226" s="351">
        <v>100</v>
      </c>
      <c r="E226" s="236">
        <f>D226-C226</f>
        <v>0</v>
      </c>
      <c r="F226" s="143">
        <f>D226/C226*100</f>
        <v>100</v>
      </c>
      <c r="G226" s="442" t="s">
        <v>400</v>
      </c>
    </row>
    <row r="227" spans="1:7" ht="47.25" x14ac:dyDescent="0.25">
      <c r="A227" s="210"/>
      <c r="B227" s="534" t="s">
        <v>236</v>
      </c>
      <c r="C227" s="336">
        <v>100</v>
      </c>
      <c r="D227" s="336">
        <v>100</v>
      </c>
      <c r="E227" s="117">
        <f>D227-C227</f>
        <v>0</v>
      </c>
      <c r="F227" s="143">
        <f>D227/C227*100</f>
        <v>100</v>
      </c>
      <c r="G227" s="442" t="s">
        <v>400</v>
      </c>
    </row>
    <row r="228" spans="1:7" x14ac:dyDescent="0.25">
      <c r="A228" s="125"/>
    </row>
    <row r="229" spans="1:7" x14ac:dyDescent="0.25">
      <c r="A229" s="125"/>
    </row>
    <row r="230" spans="1:7" x14ac:dyDescent="0.25">
      <c r="A230" s="125"/>
      <c r="B230" s="237" t="s">
        <v>406</v>
      </c>
      <c r="C230" s="415" t="s">
        <v>407</v>
      </c>
    </row>
    <row r="231" spans="1:7" ht="43.5" customHeight="1" x14ac:dyDescent="0.25">
      <c r="A231" s="125"/>
    </row>
    <row r="232" spans="1:7" ht="16.5" customHeight="1" x14ac:dyDescent="0.25">
      <c r="A232" s="125"/>
      <c r="B232" s="237" t="s">
        <v>408</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B224:G224"/>
    <mergeCell ref="B195:G195"/>
    <mergeCell ref="B200:G200"/>
    <mergeCell ref="B202:G202"/>
    <mergeCell ref="B216:G216"/>
    <mergeCell ref="B219:G219"/>
    <mergeCell ref="B160:G160"/>
    <mergeCell ref="B165:G165"/>
    <mergeCell ref="B166:G166"/>
    <mergeCell ref="B179:G179"/>
    <mergeCell ref="B190:G190"/>
    <mergeCell ref="B110:G110"/>
    <mergeCell ref="B111:G111"/>
    <mergeCell ref="B136:G136"/>
    <mergeCell ref="B141:G141"/>
    <mergeCell ref="B146:G146"/>
    <mergeCell ref="B90:G90"/>
    <mergeCell ref="B95:G95"/>
    <mergeCell ref="B98:G98"/>
    <mergeCell ref="B100:G100"/>
    <mergeCell ref="B105:G105"/>
    <mergeCell ref="B64:G64"/>
    <mergeCell ref="B74:G74"/>
    <mergeCell ref="B79:G79"/>
    <mergeCell ref="B80:G80"/>
    <mergeCell ref="B87:G87"/>
    <mergeCell ref="B33:G33"/>
    <mergeCell ref="B36:G36"/>
    <mergeCell ref="B41:G41"/>
    <mergeCell ref="B46:G46"/>
    <mergeCell ref="B51:G51"/>
    <mergeCell ref="B14:G14"/>
    <mergeCell ref="B15:G15"/>
    <mergeCell ref="B20:G20"/>
    <mergeCell ref="B25:G25"/>
    <mergeCell ref="B30:G30"/>
    <mergeCell ref="A8:G8"/>
    <mergeCell ref="A9:G9"/>
    <mergeCell ref="A11:A12"/>
    <mergeCell ref="B11:B12"/>
    <mergeCell ref="C11:D11"/>
    <mergeCell ref="E11:E12"/>
    <mergeCell ref="F11:F12"/>
    <mergeCell ref="G11:G12"/>
  </mergeCells>
  <pageMargins left="0.7" right="0.7" top="0.75" bottom="0.75" header="0.3" footer="0.3"/>
  <pageSetup paperSize="9" scale="75" orientation="landscape" r:id="rId1"/>
  <ignoredErrors>
    <ignoredError sqref="E123"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90" zoomScaleNormal="90" workbookViewId="0">
      <pane ySplit="10" topLeftCell="A32" activePane="bottomLeft" state="frozen"/>
      <selection activeCell="P17" sqref="P17"/>
      <selection pane="bottomLeft" activeCell="B94" sqref="B94"/>
    </sheetView>
  </sheetViews>
  <sheetFormatPr defaultRowHeight="15.75" x14ac:dyDescent="0.2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736"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x14ac:dyDescent="0.25">
      <c r="J1" s="125" t="s">
        <v>942</v>
      </c>
    </row>
    <row r="2" spans="1:69" x14ac:dyDescent="0.25">
      <c r="J2" s="125" t="s">
        <v>610</v>
      </c>
    </row>
    <row r="3" spans="1:69" x14ac:dyDescent="0.25">
      <c r="J3" s="125" t="s">
        <v>611</v>
      </c>
    </row>
    <row r="4" spans="1:69" x14ac:dyDescent="0.25">
      <c r="J4" s="125" t="s">
        <v>612</v>
      </c>
    </row>
    <row r="6" spans="1:69" ht="15.75" customHeight="1" x14ac:dyDescent="0.25">
      <c r="A6" s="1210" t="s">
        <v>818</v>
      </c>
      <c r="B6" s="1210"/>
      <c r="C6" s="1210"/>
      <c r="D6" s="1210"/>
      <c r="E6" s="1210"/>
      <c r="F6" s="1210"/>
      <c r="G6" s="1210"/>
      <c r="H6" s="1210"/>
      <c r="I6" s="1210"/>
      <c r="J6" s="1210"/>
      <c r="K6" s="1210"/>
      <c r="L6" s="1210"/>
    </row>
    <row r="8" spans="1:69" s="594" customFormat="1" ht="25.5" customHeight="1" x14ac:dyDescent="0.25">
      <c r="A8" s="1211" t="s">
        <v>26</v>
      </c>
      <c r="B8" s="1212" t="s">
        <v>37</v>
      </c>
      <c r="C8" s="1212" t="s">
        <v>38</v>
      </c>
      <c r="D8" s="1212" t="s">
        <v>39</v>
      </c>
      <c r="E8" s="1213" t="s">
        <v>45</v>
      </c>
      <c r="F8" s="1213"/>
      <c r="G8" s="1213"/>
      <c r="H8" s="1213"/>
      <c r="I8" s="1213" t="s">
        <v>40</v>
      </c>
      <c r="J8" s="1213"/>
      <c r="K8" s="1213"/>
      <c r="L8" s="121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x14ac:dyDescent="0.25">
      <c r="A9" s="1211"/>
      <c r="B9" s="1212"/>
      <c r="C9" s="1212"/>
      <c r="D9" s="1212"/>
      <c r="E9" s="1222" t="s">
        <v>41</v>
      </c>
      <c r="F9" s="1214" t="s">
        <v>42</v>
      </c>
      <c r="G9" s="1214"/>
      <c r="H9" s="1214"/>
      <c r="I9" s="1223" t="s">
        <v>41</v>
      </c>
      <c r="J9" s="1214" t="s">
        <v>42</v>
      </c>
      <c r="K9" s="1214"/>
      <c r="L9" s="1215"/>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x14ac:dyDescent="0.25">
      <c r="A10" s="1211"/>
      <c r="B10" s="1212"/>
      <c r="C10" s="1212"/>
      <c r="D10" s="1212"/>
      <c r="E10" s="1222"/>
      <c r="F10" s="695" t="s">
        <v>44</v>
      </c>
      <c r="G10" s="244" t="s">
        <v>43</v>
      </c>
      <c r="H10" s="695" t="s">
        <v>27</v>
      </c>
      <c r="I10" s="1223"/>
      <c r="J10" s="695" t="s">
        <v>44</v>
      </c>
      <c r="K10" s="697" t="s">
        <v>43</v>
      </c>
      <c r="L10" s="695"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x14ac:dyDescent="0.25">
      <c r="A11" s="693" t="s">
        <v>28</v>
      </c>
      <c r="B11" s="694">
        <v>2</v>
      </c>
      <c r="C11" s="693" t="s">
        <v>103</v>
      </c>
      <c r="D11" s="694">
        <v>4</v>
      </c>
      <c r="E11" s="695" t="s">
        <v>155</v>
      </c>
      <c r="F11" s="327">
        <v>6</v>
      </c>
      <c r="G11" s="596">
        <v>7</v>
      </c>
      <c r="H11" s="327">
        <v>8</v>
      </c>
      <c r="I11" s="737">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x14ac:dyDescent="0.25">
      <c r="A12" s="751" t="s">
        <v>17</v>
      </c>
      <c r="B12" s="822" t="s">
        <v>48</v>
      </c>
      <c r="C12" s="823"/>
      <c r="D12" s="823"/>
      <c r="E12" s="824">
        <f>SUM(F12:H12)</f>
        <v>34818.22</v>
      </c>
      <c r="F12" s="825">
        <f>F13+F17+F18+F19+F20+F21+F22+F27+F31</f>
        <v>5286.74</v>
      </c>
      <c r="G12" s="826">
        <f>G13+G17+G18+G19+G20+G21+G22+G27+G31</f>
        <v>1937.7</v>
      </c>
      <c r="H12" s="825">
        <f>H13+H17+H18+H19+H20+H21+H22+H27+H31</f>
        <v>27593.780000000002</v>
      </c>
      <c r="I12" s="824">
        <f>SUM(J12:L12)</f>
        <v>28973.544000000002</v>
      </c>
      <c r="J12" s="824">
        <f>J13+J17+J18+J19+J20+J20+J21+J22+J27+J31</f>
        <v>3784.04</v>
      </c>
      <c r="K12" s="827">
        <f>K13+K17+K18+K19+K20+K20+K21+K22+K27+K31</f>
        <v>1087.124</v>
      </c>
      <c r="L12" s="824">
        <f>L13+L17+L18+L19+L20+L21+L22+L27+L31</f>
        <v>24102.38</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x14ac:dyDescent="0.25">
      <c r="A13" s="753" t="s">
        <v>46</v>
      </c>
      <c r="B13" s="442" t="s">
        <v>542</v>
      </c>
      <c r="C13" s="194"/>
      <c r="D13" s="194"/>
      <c r="E13" s="757">
        <f t="shared" ref="E13:E80" si="0">SUM(F13:H13)</f>
        <v>23007.980000000003</v>
      </c>
      <c r="F13" s="700">
        <v>0</v>
      </c>
      <c r="G13" s="705">
        <v>0</v>
      </c>
      <c r="H13" s="700">
        <f>SUM(H14:H16)</f>
        <v>23007.980000000003</v>
      </c>
      <c r="I13" s="757">
        <f t="shared" ref="I13:I20" si="1">SUM(J13:L13)</f>
        <v>17137.7</v>
      </c>
      <c r="J13" s="757">
        <f>SUM(J14:J16)</f>
        <v>0</v>
      </c>
      <c r="K13" s="105">
        <f>SUM(K14:K16)</f>
        <v>0</v>
      </c>
      <c r="L13" s="757">
        <f>SUM(L14:L16)</f>
        <v>17137.7</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x14ac:dyDescent="0.25">
      <c r="A14" s="613"/>
      <c r="B14" s="614" t="s">
        <v>616</v>
      </c>
      <c r="C14" s="724" t="s">
        <v>34</v>
      </c>
      <c r="D14" s="723" t="s">
        <v>543</v>
      </c>
      <c r="E14" s="722">
        <f t="shared" si="0"/>
        <v>12076.45</v>
      </c>
      <c r="F14" s="721">
        <v>0</v>
      </c>
      <c r="G14" s="729">
        <v>0</v>
      </c>
      <c r="H14" s="721">
        <v>12076.45</v>
      </c>
      <c r="I14" s="722">
        <f t="shared" si="1"/>
        <v>6781.08</v>
      </c>
      <c r="J14" s="722">
        <v>0</v>
      </c>
      <c r="K14" s="730">
        <v>0</v>
      </c>
      <c r="L14" s="722">
        <v>6781.08</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x14ac:dyDescent="0.25">
      <c r="A15" s="613"/>
      <c r="B15" s="614" t="s">
        <v>617</v>
      </c>
      <c r="C15" s="724" t="s">
        <v>34</v>
      </c>
      <c r="D15" s="723" t="s">
        <v>543</v>
      </c>
      <c r="E15" s="722">
        <f t="shared" si="0"/>
        <v>6662.29</v>
      </c>
      <c r="F15" s="721">
        <v>0</v>
      </c>
      <c r="G15" s="729">
        <v>0</v>
      </c>
      <c r="H15" s="721">
        <v>6662.29</v>
      </c>
      <c r="I15" s="722">
        <f t="shared" si="1"/>
        <v>8002.76</v>
      </c>
      <c r="J15" s="722">
        <v>0</v>
      </c>
      <c r="K15" s="730">
        <v>0</v>
      </c>
      <c r="L15" s="722">
        <v>8002.76</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x14ac:dyDescent="0.25">
      <c r="A16" s="613"/>
      <c r="B16" s="622" t="s">
        <v>618</v>
      </c>
      <c r="C16" s="724" t="s">
        <v>34</v>
      </c>
      <c r="D16" s="723" t="s">
        <v>543</v>
      </c>
      <c r="E16" s="722">
        <f t="shared" si="0"/>
        <v>4269.24</v>
      </c>
      <c r="F16" s="721">
        <v>0</v>
      </c>
      <c r="G16" s="729">
        <v>0</v>
      </c>
      <c r="H16" s="721">
        <v>4269.24</v>
      </c>
      <c r="I16" s="722">
        <f t="shared" si="1"/>
        <v>2353.86</v>
      </c>
      <c r="J16" s="722">
        <v>0</v>
      </c>
      <c r="K16" s="730">
        <v>0</v>
      </c>
      <c r="L16" s="722">
        <v>2353.86</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x14ac:dyDescent="0.25">
      <c r="A17" s="753" t="s">
        <v>247</v>
      </c>
      <c r="B17" s="828" t="s">
        <v>248</v>
      </c>
      <c r="C17" s="194" t="s">
        <v>51</v>
      </c>
      <c r="D17" s="829" t="s">
        <v>543</v>
      </c>
      <c r="E17" s="757">
        <f t="shared" si="0"/>
        <v>550</v>
      </c>
      <c r="F17" s="700">
        <v>0</v>
      </c>
      <c r="G17" s="705">
        <v>0</v>
      </c>
      <c r="H17" s="830">
        <v>550</v>
      </c>
      <c r="I17" s="757">
        <f t="shared" si="1"/>
        <v>1490.61</v>
      </c>
      <c r="J17" s="757">
        <v>0</v>
      </c>
      <c r="K17" s="745">
        <v>0</v>
      </c>
      <c r="L17" s="757">
        <v>1490.61</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x14ac:dyDescent="0.25">
      <c r="A18" s="753" t="s">
        <v>253</v>
      </c>
      <c r="B18" s="828" t="s">
        <v>547</v>
      </c>
      <c r="C18" s="194" t="s">
        <v>34</v>
      </c>
      <c r="D18" s="829" t="s">
        <v>544</v>
      </c>
      <c r="E18" s="757">
        <f t="shared" si="0"/>
        <v>0</v>
      </c>
      <c r="F18" s="700">
        <v>0</v>
      </c>
      <c r="G18" s="705">
        <v>0</v>
      </c>
      <c r="H18" s="757">
        <v>0</v>
      </c>
      <c r="I18" s="757">
        <f t="shared" si="1"/>
        <v>1076.8399999999999</v>
      </c>
      <c r="J18" s="757">
        <v>0</v>
      </c>
      <c r="K18" s="745">
        <v>0</v>
      </c>
      <c r="L18" s="757">
        <v>1076.8399999999999</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x14ac:dyDescent="0.25">
      <c r="A19" s="753" t="s">
        <v>546</v>
      </c>
      <c r="B19" s="828" t="s">
        <v>55</v>
      </c>
      <c r="C19" s="194" t="s">
        <v>51</v>
      </c>
      <c r="D19" s="194" t="s">
        <v>543</v>
      </c>
      <c r="E19" s="757">
        <f t="shared" si="0"/>
        <v>1150</v>
      </c>
      <c r="F19" s="700">
        <v>0</v>
      </c>
      <c r="G19" s="705">
        <v>0</v>
      </c>
      <c r="H19" s="757">
        <v>1150</v>
      </c>
      <c r="I19" s="757">
        <f t="shared" si="1"/>
        <v>1263.77</v>
      </c>
      <c r="J19" s="757">
        <v>0</v>
      </c>
      <c r="K19" s="745">
        <v>0</v>
      </c>
      <c r="L19" s="757">
        <v>1263.77</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x14ac:dyDescent="0.25">
      <c r="A20" s="753" t="s">
        <v>256</v>
      </c>
      <c r="B20" s="828" t="s">
        <v>548</v>
      </c>
      <c r="C20" s="194" t="s">
        <v>545</v>
      </c>
      <c r="D20" s="194" t="s">
        <v>543</v>
      </c>
      <c r="E20" s="700">
        <f t="shared" si="0"/>
        <v>1950.8</v>
      </c>
      <c r="F20" s="700">
        <v>0</v>
      </c>
      <c r="G20" s="705">
        <v>0</v>
      </c>
      <c r="H20" s="757">
        <v>1950.8</v>
      </c>
      <c r="I20" s="757">
        <f t="shared" si="1"/>
        <v>1673.02</v>
      </c>
      <c r="J20" s="757">
        <v>0</v>
      </c>
      <c r="K20" s="745">
        <v>0</v>
      </c>
      <c r="L20" s="757">
        <v>1673.02</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x14ac:dyDescent="0.25">
      <c r="A21" s="753" t="s">
        <v>261</v>
      </c>
      <c r="B21" s="831" t="s">
        <v>57</v>
      </c>
      <c r="C21" s="194" t="s">
        <v>34</v>
      </c>
      <c r="D21" s="829" t="s">
        <v>543</v>
      </c>
      <c r="E21" s="757">
        <f t="shared" si="0"/>
        <v>635</v>
      </c>
      <c r="F21" s="757">
        <v>0</v>
      </c>
      <c r="G21" s="105">
        <v>0</v>
      </c>
      <c r="H21" s="757">
        <v>635</v>
      </c>
      <c r="I21" s="757">
        <f>SUM(J21:L21)</f>
        <v>282.25</v>
      </c>
      <c r="J21" s="757">
        <v>0</v>
      </c>
      <c r="K21" s="745">
        <v>0</v>
      </c>
      <c r="L21" s="757">
        <v>282.25</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x14ac:dyDescent="0.25">
      <c r="A22" s="753" t="s">
        <v>265</v>
      </c>
      <c r="B22" s="442" t="s">
        <v>549</v>
      </c>
      <c r="C22" s="832" t="s">
        <v>552</v>
      </c>
      <c r="D22" s="829" t="s">
        <v>550</v>
      </c>
      <c r="E22" s="757">
        <f t="shared" si="0"/>
        <v>3066.49</v>
      </c>
      <c r="F22" s="757">
        <f>SUM(F23:F26)</f>
        <v>2163.29</v>
      </c>
      <c r="G22" s="105">
        <f>SUM(G23:G26)</f>
        <v>903.2</v>
      </c>
      <c r="H22" s="757">
        <f>SUM(H23:H26)</f>
        <v>0</v>
      </c>
      <c r="I22" s="757">
        <f>SUM(J22:L22)</f>
        <v>2477.038</v>
      </c>
      <c r="J22" s="757">
        <f>SUM(J23:J26)</f>
        <v>1010.06</v>
      </c>
      <c r="K22" s="105">
        <f>SUM(K23:K26)</f>
        <v>288.78800000000001</v>
      </c>
      <c r="L22" s="757">
        <f>SUM(L23:L26)</f>
        <v>1178.19</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x14ac:dyDescent="0.25">
      <c r="A23" s="613"/>
      <c r="B23" s="614" t="s">
        <v>678</v>
      </c>
      <c r="C23" s="723" t="s">
        <v>680</v>
      </c>
      <c r="D23" s="723" t="s">
        <v>550</v>
      </c>
      <c r="E23" s="721">
        <f t="shared" si="0"/>
        <v>0</v>
      </c>
      <c r="F23" s="721">
        <v>0</v>
      </c>
      <c r="G23" s="729">
        <v>0</v>
      </c>
      <c r="H23" s="721">
        <v>0</v>
      </c>
      <c r="I23" s="722">
        <f t="shared" ref="I23:I35" si="2">SUM(J23:L23)</f>
        <v>0</v>
      </c>
      <c r="J23" s="722">
        <v>0</v>
      </c>
      <c r="K23" s="730">
        <v>0</v>
      </c>
      <c r="L23" s="722">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x14ac:dyDescent="0.25">
      <c r="A24" s="613"/>
      <c r="B24" s="614" t="s">
        <v>679</v>
      </c>
      <c r="C24" s="728" t="s">
        <v>552</v>
      </c>
      <c r="D24" s="723" t="s">
        <v>550</v>
      </c>
      <c r="E24" s="721">
        <f t="shared" si="0"/>
        <v>192.7</v>
      </c>
      <c r="F24" s="721">
        <v>0</v>
      </c>
      <c r="G24" s="729">
        <v>192.7</v>
      </c>
      <c r="H24" s="721">
        <v>0</v>
      </c>
      <c r="I24" s="722">
        <f t="shared" si="2"/>
        <v>192.66</v>
      </c>
      <c r="J24" s="722">
        <v>0</v>
      </c>
      <c r="K24" s="730">
        <v>192.66</v>
      </c>
      <c r="L24" s="722">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6.75" customHeight="1" x14ac:dyDescent="0.25">
      <c r="A25" s="613"/>
      <c r="B25" s="630" t="s">
        <v>681</v>
      </c>
      <c r="C25" s="723" t="s">
        <v>551</v>
      </c>
      <c r="D25" s="723" t="s">
        <v>550</v>
      </c>
      <c r="E25" s="722">
        <f t="shared" si="0"/>
        <v>0</v>
      </c>
      <c r="F25" s="722">
        <v>0</v>
      </c>
      <c r="G25" s="731">
        <v>0</v>
      </c>
      <c r="H25" s="722">
        <v>0</v>
      </c>
      <c r="I25" s="722">
        <f t="shared" si="2"/>
        <v>0</v>
      </c>
      <c r="J25" s="722">
        <v>0</v>
      </c>
      <c r="K25" s="730">
        <v>0</v>
      </c>
      <c r="L25" s="722">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30.75" customHeight="1" x14ac:dyDescent="0.25">
      <c r="A26" s="613"/>
      <c r="B26" s="614" t="s">
        <v>682</v>
      </c>
      <c r="C26" s="728" t="s">
        <v>62</v>
      </c>
      <c r="D26" s="723" t="s">
        <v>543</v>
      </c>
      <c r="E26" s="722">
        <f t="shared" si="0"/>
        <v>2873.79</v>
      </c>
      <c r="F26" s="722">
        <v>2163.29</v>
      </c>
      <c r="G26" s="731">
        <v>710.5</v>
      </c>
      <c r="H26" s="722">
        <v>0</v>
      </c>
      <c r="I26" s="722">
        <f t="shared" si="2"/>
        <v>2284.3779999999997</v>
      </c>
      <c r="J26" s="722">
        <v>1010.06</v>
      </c>
      <c r="K26" s="730">
        <v>96.128</v>
      </c>
      <c r="L26" s="722">
        <v>1178.19</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x14ac:dyDescent="0.25">
      <c r="A27" s="753" t="s">
        <v>427</v>
      </c>
      <c r="B27" s="193" t="s">
        <v>430</v>
      </c>
      <c r="C27" s="833" t="s">
        <v>62</v>
      </c>
      <c r="D27" s="829" t="s">
        <v>543</v>
      </c>
      <c r="E27" s="757">
        <f t="shared" si="0"/>
        <v>4157.95</v>
      </c>
      <c r="F27" s="757">
        <f>SUM(F28:F30)</f>
        <v>3123.45</v>
      </c>
      <c r="G27" s="105">
        <f>SUM(G28:G30)</f>
        <v>1034.5</v>
      </c>
      <c r="H27" s="757">
        <f>SUM(H28:H30)</f>
        <v>0</v>
      </c>
      <c r="I27" s="757">
        <f t="shared" si="2"/>
        <v>3572.3159999999998</v>
      </c>
      <c r="J27" s="757">
        <f>SUM(J28:J30)</f>
        <v>2773.98</v>
      </c>
      <c r="K27" s="105">
        <f>SUM(K28:K30)</f>
        <v>798.33600000000001</v>
      </c>
      <c r="L27" s="757">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9.25" customHeight="1" x14ac:dyDescent="0.25">
      <c r="A28" s="613"/>
      <c r="B28" s="614" t="s">
        <v>619</v>
      </c>
      <c r="C28" s="728" t="s">
        <v>62</v>
      </c>
      <c r="D28" s="723" t="s">
        <v>543</v>
      </c>
      <c r="E28" s="722">
        <f t="shared" si="0"/>
        <v>3108.87</v>
      </c>
      <c r="F28" s="722">
        <v>3108.87</v>
      </c>
      <c r="G28" s="731">
        <v>0</v>
      </c>
      <c r="H28" s="722">
        <v>0</v>
      </c>
      <c r="I28" s="722">
        <f t="shared" si="2"/>
        <v>2768.8</v>
      </c>
      <c r="J28" s="722">
        <v>2768.8</v>
      </c>
      <c r="K28" s="730">
        <v>0</v>
      </c>
      <c r="L28" s="722">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4" customHeight="1" x14ac:dyDescent="0.25">
      <c r="A29" s="613"/>
      <c r="B29" s="614" t="s">
        <v>620</v>
      </c>
      <c r="C29" s="728" t="s">
        <v>62</v>
      </c>
      <c r="D29" s="723" t="s">
        <v>543</v>
      </c>
      <c r="E29" s="722">
        <f t="shared" si="0"/>
        <v>1034.5</v>
      </c>
      <c r="F29" s="722">
        <v>0</v>
      </c>
      <c r="G29" s="731">
        <v>1034.5</v>
      </c>
      <c r="H29" s="722">
        <v>0</v>
      </c>
      <c r="I29" s="722">
        <f t="shared" si="2"/>
        <v>798.33600000000001</v>
      </c>
      <c r="J29" s="722">
        <v>0</v>
      </c>
      <c r="K29" s="730">
        <v>798.33600000000001</v>
      </c>
      <c r="L29" s="722">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x14ac:dyDescent="0.25">
      <c r="A30" s="613"/>
      <c r="B30" s="614" t="s">
        <v>621</v>
      </c>
      <c r="C30" s="728" t="s">
        <v>62</v>
      </c>
      <c r="D30" s="723" t="s">
        <v>543</v>
      </c>
      <c r="E30" s="722">
        <f t="shared" si="0"/>
        <v>14.58</v>
      </c>
      <c r="F30" s="722">
        <v>14.58</v>
      </c>
      <c r="G30" s="731">
        <v>0</v>
      </c>
      <c r="H30" s="722">
        <v>0</v>
      </c>
      <c r="I30" s="722">
        <f t="shared" si="2"/>
        <v>5.18</v>
      </c>
      <c r="J30" s="722">
        <v>5.18</v>
      </c>
      <c r="K30" s="730">
        <v>0</v>
      </c>
      <c r="L30" s="722">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x14ac:dyDescent="0.25">
      <c r="A31" s="753" t="s">
        <v>283</v>
      </c>
      <c r="B31" s="193" t="s">
        <v>432</v>
      </c>
      <c r="C31" s="194" t="s">
        <v>585</v>
      </c>
      <c r="D31" s="194" t="s">
        <v>543</v>
      </c>
      <c r="E31" s="757">
        <f t="shared" si="0"/>
        <v>300</v>
      </c>
      <c r="F31" s="757">
        <v>0</v>
      </c>
      <c r="G31" s="105">
        <v>0</v>
      </c>
      <c r="H31" s="830">
        <v>300</v>
      </c>
      <c r="I31" s="757">
        <f t="shared" si="2"/>
        <v>0</v>
      </c>
      <c r="J31" s="757">
        <v>0</v>
      </c>
      <c r="K31" s="745">
        <v>0</v>
      </c>
      <c r="L31" s="757">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x14ac:dyDescent="0.25">
      <c r="A32" s="751" t="s">
        <v>78</v>
      </c>
      <c r="B32" s="749" t="s">
        <v>77</v>
      </c>
      <c r="C32" s="823"/>
      <c r="D32" s="823"/>
      <c r="E32" s="824">
        <f t="shared" si="0"/>
        <v>1964.5149999999999</v>
      </c>
      <c r="F32" s="824">
        <f>F33+F34+F35+F39+F40</f>
        <v>0</v>
      </c>
      <c r="G32" s="827">
        <f>G33+G34+G35+G39+G40</f>
        <v>802.21500000000003</v>
      </c>
      <c r="H32" s="824">
        <f>H33+H34+H35+H39+H40</f>
        <v>1162.3</v>
      </c>
      <c r="I32" s="824">
        <f t="shared" si="2"/>
        <v>4045.5829599999997</v>
      </c>
      <c r="J32" s="824">
        <f>SUM(J33+J34+J35+J39+J40)</f>
        <v>360.68295999999998</v>
      </c>
      <c r="K32" s="827">
        <f>SUM(K33+K34+K35+K39+K40)</f>
        <v>0</v>
      </c>
      <c r="L32" s="824">
        <f>SUM(L33+L34+L35+L39+L40)</f>
        <v>3684.8999999999996</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x14ac:dyDescent="0.25">
      <c r="A33" s="753" t="s">
        <v>296</v>
      </c>
      <c r="B33" s="193" t="s">
        <v>433</v>
      </c>
      <c r="C33" s="194" t="s">
        <v>553</v>
      </c>
      <c r="D33" s="194" t="s">
        <v>543</v>
      </c>
      <c r="E33" s="757">
        <f t="shared" si="0"/>
        <v>802.21500000000003</v>
      </c>
      <c r="F33" s="757">
        <v>0</v>
      </c>
      <c r="G33" s="834">
        <v>802.21500000000003</v>
      </c>
      <c r="H33" s="757">
        <v>0</v>
      </c>
      <c r="I33" s="757">
        <f t="shared" si="2"/>
        <v>2117</v>
      </c>
      <c r="J33" s="757">
        <v>359.88</v>
      </c>
      <c r="K33" s="745">
        <v>0</v>
      </c>
      <c r="L33" s="757">
        <v>1757.12</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x14ac:dyDescent="0.25">
      <c r="A34" s="753" t="s">
        <v>297</v>
      </c>
      <c r="B34" s="193" t="s">
        <v>554</v>
      </c>
      <c r="C34" s="194" t="s">
        <v>62</v>
      </c>
      <c r="D34" s="194" t="s">
        <v>543</v>
      </c>
      <c r="E34" s="757">
        <f t="shared" si="0"/>
        <v>0</v>
      </c>
      <c r="F34" s="757">
        <v>0</v>
      </c>
      <c r="G34" s="105">
        <v>0</v>
      </c>
      <c r="H34" s="757">
        <v>0</v>
      </c>
      <c r="I34" s="757">
        <f t="shared" si="2"/>
        <v>0</v>
      </c>
      <c r="J34" s="757">
        <v>0</v>
      </c>
      <c r="K34" s="745">
        <v>0</v>
      </c>
      <c r="L34" s="757">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x14ac:dyDescent="0.25">
      <c r="A35" s="753" t="s">
        <v>298</v>
      </c>
      <c r="B35" s="835" t="s">
        <v>446</v>
      </c>
      <c r="C35" s="194" t="s">
        <v>555</v>
      </c>
      <c r="D35" s="829" t="s">
        <v>543</v>
      </c>
      <c r="E35" s="757">
        <f t="shared" si="0"/>
        <v>1111.3</v>
      </c>
      <c r="F35" s="757">
        <f>SUM(F36:F38)</f>
        <v>0</v>
      </c>
      <c r="G35" s="105">
        <f>SUM(G36:G38)</f>
        <v>0</v>
      </c>
      <c r="H35" s="757">
        <f>SUM(H36:H38)</f>
        <v>1111.3</v>
      </c>
      <c r="I35" s="757">
        <f t="shared" si="2"/>
        <v>1927.78</v>
      </c>
      <c r="J35" s="757">
        <f>SUM(J36:J38)</f>
        <v>0</v>
      </c>
      <c r="K35" s="105">
        <f>SUM(K36:K38)</f>
        <v>0</v>
      </c>
      <c r="L35" s="757">
        <f>SUM(L36:L38)</f>
        <v>1927.78</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x14ac:dyDescent="0.25">
      <c r="A36" s="613"/>
      <c r="B36" s="622" t="s">
        <v>622</v>
      </c>
      <c r="C36" s="724" t="s">
        <v>51</v>
      </c>
      <c r="D36" s="723" t="s">
        <v>543</v>
      </c>
      <c r="E36" s="722">
        <f t="shared" si="0"/>
        <v>672</v>
      </c>
      <c r="F36" s="722">
        <v>0</v>
      </c>
      <c r="G36" s="731">
        <v>0</v>
      </c>
      <c r="H36" s="722">
        <v>672</v>
      </c>
      <c r="I36" s="722">
        <f t="shared" ref="I36:I73" si="3">SUM(J36:L36)</f>
        <v>1817.78</v>
      </c>
      <c r="J36" s="722">
        <v>0</v>
      </c>
      <c r="K36" s="730">
        <v>0</v>
      </c>
      <c r="L36" s="722">
        <v>1817.78</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x14ac:dyDescent="0.25">
      <c r="A37" s="613"/>
      <c r="B37" s="636" t="s">
        <v>623</v>
      </c>
      <c r="C37" s="723" t="s">
        <v>555</v>
      </c>
      <c r="D37" s="723" t="s">
        <v>543</v>
      </c>
      <c r="E37" s="722">
        <f t="shared" si="0"/>
        <v>136.9</v>
      </c>
      <c r="F37" s="722">
        <v>0</v>
      </c>
      <c r="G37" s="731">
        <v>0</v>
      </c>
      <c r="H37" s="726">
        <v>136.9</v>
      </c>
      <c r="I37" s="722">
        <f t="shared" si="3"/>
        <v>0</v>
      </c>
      <c r="J37" s="722">
        <v>0</v>
      </c>
      <c r="K37" s="730">
        <v>0</v>
      </c>
      <c r="L37" s="722">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x14ac:dyDescent="0.25">
      <c r="A38" s="613"/>
      <c r="B38" s="622" t="s">
        <v>624</v>
      </c>
      <c r="C38" s="723" t="s">
        <v>51</v>
      </c>
      <c r="D38" s="723" t="s">
        <v>543</v>
      </c>
      <c r="E38" s="722">
        <f t="shared" si="0"/>
        <v>302.39999999999998</v>
      </c>
      <c r="F38" s="722">
        <v>0</v>
      </c>
      <c r="G38" s="731">
        <v>0</v>
      </c>
      <c r="H38" s="726">
        <v>302.39999999999998</v>
      </c>
      <c r="I38" s="722">
        <f t="shared" si="3"/>
        <v>110</v>
      </c>
      <c r="J38" s="722">
        <v>0</v>
      </c>
      <c r="K38" s="730">
        <v>0</v>
      </c>
      <c r="L38" s="722">
        <v>110</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x14ac:dyDescent="0.25">
      <c r="A39" s="753" t="s">
        <v>299</v>
      </c>
      <c r="B39" s="442" t="s">
        <v>556</v>
      </c>
      <c r="C39" s="829" t="s">
        <v>62</v>
      </c>
      <c r="D39" s="829" t="s">
        <v>543</v>
      </c>
      <c r="E39" s="757">
        <f t="shared" si="0"/>
        <v>0</v>
      </c>
      <c r="F39" s="757">
        <v>0</v>
      </c>
      <c r="G39" s="105">
        <v>0</v>
      </c>
      <c r="H39" s="757">
        <v>0</v>
      </c>
      <c r="I39" s="757">
        <f t="shared" si="3"/>
        <v>0.80296000000000001</v>
      </c>
      <c r="J39" s="757">
        <v>0.80296000000000001</v>
      </c>
      <c r="K39" s="745">
        <v>0</v>
      </c>
      <c r="L39" s="757">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x14ac:dyDescent="0.25">
      <c r="A40" s="836" t="s">
        <v>306</v>
      </c>
      <c r="B40" s="452" t="s">
        <v>557</v>
      </c>
      <c r="C40" s="194" t="s">
        <v>555</v>
      </c>
      <c r="D40" s="829" t="s">
        <v>543</v>
      </c>
      <c r="E40" s="830">
        <f>SUM(F40:H40)</f>
        <v>51</v>
      </c>
      <c r="F40" s="830">
        <f>F41+F42</f>
        <v>0</v>
      </c>
      <c r="G40" s="837">
        <f>G41+G42</f>
        <v>0</v>
      </c>
      <c r="H40" s="830">
        <f>H41+H42</f>
        <v>51</v>
      </c>
      <c r="I40" s="757">
        <f t="shared" si="3"/>
        <v>0</v>
      </c>
      <c r="J40" s="830">
        <f>SUM(J41:J42)</f>
        <v>0</v>
      </c>
      <c r="K40" s="837">
        <v>0</v>
      </c>
      <c r="L40" s="830">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x14ac:dyDescent="0.2">
      <c r="A41" s="613"/>
      <c r="B41" s="622" t="s">
        <v>625</v>
      </c>
      <c r="C41" s="724" t="s">
        <v>59</v>
      </c>
      <c r="D41" s="724" t="s">
        <v>543</v>
      </c>
      <c r="E41" s="722">
        <f t="shared" si="0"/>
        <v>0</v>
      </c>
      <c r="F41" s="722">
        <v>0</v>
      </c>
      <c r="G41" s="731">
        <v>0</v>
      </c>
      <c r="H41" s="722">
        <v>0</v>
      </c>
      <c r="I41" s="722">
        <f t="shared" si="3"/>
        <v>0</v>
      </c>
      <c r="J41" s="722">
        <v>0</v>
      </c>
      <c r="K41" s="730">
        <v>0</v>
      </c>
      <c r="L41" s="722">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x14ac:dyDescent="0.25">
      <c r="A42" s="613"/>
      <c r="B42" s="622" t="s">
        <v>626</v>
      </c>
      <c r="C42" s="724" t="s">
        <v>558</v>
      </c>
      <c r="D42" s="724" t="s">
        <v>543</v>
      </c>
      <c r="E42" s="722">
        <f t="shared" si="0"/>
        <v>51</v>
      </c>
      <c r="F42" s="722">
        <v>0</v>
      </c>
      <c r="G42" s="731">
        <v>0</v>
      </c>
      <c r="H42" s="722">
        <v>51</v>
      </c>
      <c r="I42" s="722">
        <f t="shared" si="3"/>
        <v>0</v>
      </c>
      <c r="J42" s="722">
        <v>0</v>
      </c>
      <c r="K42" s="730">
        <v>0</v>
      </c>
      <c r="L42" s="722">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x14ac:dyDescent="0.25">
      <c r="A43" s="838" t="s">
        <v>559</v>
      </c>
      <c r="B43" s="839" t="s">
        <v>561</v>
      </c>
      <c r="C43" s="840"/>
      <c r="D43" s="840"/>
      <c r="E43" s="824">
        <f t="shared" si="0"/>
        <v>19093.099000000002</v>
      </c>
      <c r="F43" s="824">
        <f>F44+F50+F51+F57+F63</f>
        <v>830.95</v>
      </c>
      <c r="G43" s="827">
        <f>G44+G50+G51+G57+G63</f>
        <v>5124.6490000000003</v>
      </c>
      <c r="H43" s="824">
        <f>H44+H50+H51+H57+H63</f>
        <v>13137.5</v>
      </c>
      <c r="I43" s="841">
        <f t="shared" si="3"/>
        <v>5776.4352999999992</v>
      </c>
      <c r="J43" s="841">
        <f>J44+J50+J51+J57+J63</f>
        <v>672.23</v>
      </c>
      <c r="K43" s="842">
        <f>K44+K50+K51+K57+K63</f>
        <v>2552.819</v>
      </c>
      <c r="L43" s="841">
        <f>L44+L50+L51+L57+L63</f>
        <v>2551.3862999999997</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x14ac:dyDescent="0.25">
      <c r="A44" s="753" t="s">
        <v>562</v>
      </c>
      <c r="B44" s="442" t="s">
        <v>455</v>
      </c>
      <c r="C44" s="194" t="s">
        <v>59</v>
      </c>
      <c r="D44" s="194" t="s">
        <v>543</v>
      </c>
      <c r="E44" s="757">
        <f t="shared" si="0"/>
        <v>13730.95</v>
      </c>
      <c r="F44" s="757">
        <f>SUM(F45:F49)</f>
        <v>830.95</v>
      </c>
      <c r="G44" s="105">
        <f>SUM(G45:G49)</f>
        <v>0</v>
      </c>
      <c r="H44" s="757">
        <f>SUM(H45:H49)</f>
        <v>12900</v>
      </c>
      <c r="I44" s="757">
        <f t="shared" si="3"/>
        <v>2151.4663</v>
      </c>
      <c r="J44" s="757">
        <f>SUM(J45:J49)</f>
        <v>672.23</v>
      </c>
      <c r="K44" s="105">
        <f>SUM(K45:K49)</f>
        <v>0</v>
      </c>
      <c r="L44" s="757">
        <f>SUM(L45:L49)</f>
        <v>1479.2363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x14ac:dyDescent="0.25">
      <c r="A45" s="613"/>
      <c r="B45" s="646" t="s">
        <v>627</v>
      </c>
      <c r="C45" s="724" t="s">
        <v>59</v>
      </c>
      <c r="D45" s="724" t="s">
        <v>543</v>
      </c>
      <c r="E45" s="722">
        <f t="shared" si="0"/>
        <v>830.95</v>
      </c>
      <c r="F45" s="722">
        <v>830.95</v>
      </c>
      <c r="G45" s="731">
        <v>0</v>
      </c>
      <c r="H45" s="722">
        <v>0</v>
      </c>
      <c r="I45" s="722">
        <f t="shared" si="3"/>
        <v>758.9</v>
      </c>
      <c r="J45" s="722">
        <v>672.23</v>
      </c>
      <c r="K45" s="730">
        <v>0</v>
      </c>
      <c r="L45" s="722">
        <v>86.67</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x14ac:dyDescent="0.25">
      <c r="A46" s="751"/>
      <c r="B46" s="646" t="s">
        <v>628</v>
      </c>
      <c r="C46" s="724" t="s">
        <v>59</v>
      </c>
      <c r="D46" s="724" t="s">
        <v>543</v>
      </c>
      <c r="E46" s="722">
        <f t="shared" si="0"/>
        <v>0</v>
      </c>
      <c r="F46" s="722">
        <v>0</v>
      </c>
      <c r="G46" s="731">
        <v>0</v>
      </c>
      <c r="H46" s="722">
        <v>0</v>
      </c>
      <c r="I46" s="722">
        <f t="shared" si="3"/>
        <v>0</v>
      </c>
      <c r="J46" s="722">
        <v>0</v>
      </c>
      <c r="K46" s="730">
        <v>0</v>
      </c>
      <c r="L46" s="722">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x14ac:dyDescent="0.25">
      <c r="A47" s="753"/>
      <c r="B47" s="646" t="s">
        <v>629</v>
      </c>
      <c r="C47" s="724" t="s">
        <v>59</v>
      </c>
      <c r="D47" s="724" t="s">
        <v>543</v>
      </c>
      <c r="E47" s="722">
        <f t="shared" si="0"/>
        <v>0</v>
      </c>
      <c r="F47" s="722">
        <v>0</v>
      </c>
      <c r="G47" s="731">
        <v>0</v>
      </c>
      <c r="H47" s="722">
        <v>0</v>
      </c>
      <c r="I47" s="722">
        <f t="shared" si="3"/>
        <v>0</v>
      </c>
      <c r="J47" s="722">
        <v>0</v>
      </c>
      <c r="K47" s="730">
        <v>0</v>
      </c>
      <c r="L47" s="722">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x14ac:dyDescent="0.25">
      <c r="A48" s="753"/>
      <c r="B48" s="646" t="s">
        <v>630</v>
      </c>
      <c r="C48" s="725" t="s">
        <v>560</v>
      </c>
      <c r="D48" s="724" t="s">
        <v>543</v>
      </c>
      <c r="E48" s="722">
        <f t="shared" si="0"/>
        <v>12900</v>
      </c>
      <c r="F48" s="722">
        <v>0</v>
      </c>
      <c r="G48" s="731">
        <v>0</v>
      </c>
      <c r="H48" s="722">
        <v>12900</v>
      </c>
      <c r="I48" s="722">
        <f t="shared" si="3"/>
        <v>1392.5663</v>
      </c>
      <c r="J48" s="722">
        <v>0</v>
      </c>
      <c r="K48" s="730">
        <v>0</v>
      </c>
      <c r="L48" s="722">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x14ac:dyDescent="0.25">
      <c r="A49" s="753"/>
      <c r="B49" s="646" t="s">
        <v>631</v>
      </c>
      <c r="C49" s="725" t="s">
        <v>62</v>
      </c>
      <c r="D49" s="724" t="s">
        <v>543</v>
      </c>
      <c r="E49" s="722">
        <f t="shared" si="0"/>
        <v>0</v>
      </c>
      <c r="F49" s="722">
        <v>0</v>
      </c>
      <c r="G49" s="731">
        <v>0</v>
      </c>
      <c r="H49" s="722">
        <v>0</v>
      </c>
      <c r="I49" s="722">
        <f t="shared" si="3"/>
        <v>0</v>
      </c>
      <c r="J49" s="722">
        <v>0</v>
      </c>
      <c r="K49" s="730">
        <v>0</v>
      </c>
      <c r="L49" s="722">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0.25" customHeight="1" x14ac:dyDescent="0.25">
      <c r="A50" s="753" t="s">
        <v>329</v>
      </c>
      <c r="B50" s="835" t="s">
        <v>478</v>
      </c>
      <c r="C50" s="194" t="s">
        <v>62</v>
      </c>
      <c r="D50" s="829" t="s">
        <v>543</v>
      </c>
      <c r="E50" s="757">
        <f t="shared" si="0"/>
        <v>0</v>
      </c>
      <c r="F50" s="757">
        <v>0</v>
      </c>
      <c r="G50" s="843">
        <v>0</v>
      </c>
      <c r="H50" s="757">
        <v>0</v>
      </c>
      <c r="I50" s="757">
        <f t="shared" si="3"/>
        <v>217.7</v>
      </c>
      <c r="J50" s="757">
        <v>0</v>
      </c>
      <c r="K50" s="745">
        <v>0</v>
      </c>
      <c r="L50" s="757">
        <v>217.7</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x14ac:dyDescent="0.25">
      <c r="A51" s="753" t="s">
        <v>333</v>
      </c>
      <c r="B51" s="442" t="s">
        <v>563</v>
      </c>
      <c r="C51" s="194" t="s">
        <v>62</v>
      </c>
      <c r="D51" s="829" t="s">
        <v>543</v>
      </c>
      <c r="E51" s="757">
        <f t="shared" ref="E51:E57" si="4">SUM(F51:H51)</f>
        <v>1179.22</v>
      </c>
      <c r="F51" s="757">
        <f>SUM(F52:F56)</f>
        <v>0</v>
      </c>
      <c r="G51" s="105">
        <f>G52+G53+G54+G55+G56</f>
        <v>1179.22</v>
      </c>
      <c r="H51" s="757">
        <f>SUM(H52:H56)</f>
        <v>0</v>
      </c>
      <c r="I51" s="757">
        <f t="shared" si="3"/>
        <v>1613.8440000000001</v>
      </c>
      <c r="J51" s="757">
        <f>SUM(J52:J56)</f>
        <v>0</v>
      </c>
      <c r="K51" s="105">
        <f>SUM(K52:K56)</f>
        <v>932.53399999999999</v>
      </c>
      <c r="L51" s="757">
        <f>SUM(L52:L56)</f>
        <v>681.31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x14ac:dyDescent="0.25">
      <c r="A52" s="753"/>
      <c r="B52" s="650" t="s">
        <v>632</v>
      </c>
      <c r="C52" s="725" t="s">
        <v>62</v>
      </c>
      <c r="D52" s="724" t="s">
        <v>543</v>
      </c>
      <c r="E52" s="722">
        <f t="shared" si="4"/>
        <v>26.3</v>
      </c>
      <c r="F52" s="722">
        <v>0</v>
      </c>
      <c r="G52" s="729">
        <v>26.3</v>
      </c>
      <c r="H52" s="722">
        <v>0</v>
      </c>
      <c r="I52" s="722">
        <f t="shared" si="3"/>
        <v>113.17</v>
      </c>
      <c r="J52" s="722">
        <v>0</v>
      </c>
      <c r="K52" s="730">
        <v>26.27</v>
      </c>
      <c r="L52" s="722">
        <v>86.9</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x14ac:dyDescent="0.25">
      <c r="A53" s="753"/>
      <c r="B53" s="650" t="s">
        <v>633</v>
      </c>
      <c r="C53" s="725" t="s">
        <v>62</v>
      </c>
      <c r="D53" s="724" t="s">
        <v>543</v>
      </c>
      <c r="E53" s="722">
        <f t="shared" si="4"/>
        <v>13.13</v>
      </c>
      <c r="F53" s="722">
        <v>0</v>
      </c>
      <c r="G53" s="729">
        <v>13.13</v>
      </c>
      <c r="H53" s="722">
        <v>0</v>
      </c>
      <c r="I53" s="722">
        <f t="shared" si="3"/>
        <v>76.067999999999998</v>
      </c>
      <c r="J53" s="722">
        <v>0</v>
      </c>
      <c r="K53" s="730">
        <v>13.128</v>
      </c>
      <c r="L53" s="722">
        <v>62.94</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x14ac:dyDescent="0.25">
      <c r="A54" s="753"/>
      <c r="B54" s="650" t="s">
        <v>634</v>
      </c>
      <c r="C54" s="725" t="s">
        <v>62</v>
      </c>
      <c r="D54" s="724" t="s">
        <v>543</v>
      </c>
      <c r="E54" s="722">
        <f t="shared" si="4"/>
        <v>233.58</v>
      </c>
      <c r="F54" s="722">
        <v>0</v>
      </c>
      <c r="G54" s="732">
        <v>233.58</v>
      </c>
      <c r="H54" s="722">
        <v>0</v>
      </c>
      <c r="I54" s="722">
        <f t="shared" si="3"/>
        <v>63.3</v>
      </c>
      <c r="J54" s="722">
        <v>0</v>
      </c>
      <c r="K54" s="730">
        <v>0</v>
      </c>
      <c r="L54" s="722">
        <v>63.3</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x14ac:dyDescent="0.25">
      <c r="A55" s="613"/>
      <c r="B55" s="650" t="s">
        <v>635</v>
      </c>
      <c r="C55" s="725" t="s">
        <v>62</v>
      </c>
      <c r="D55" s="724" t="s">
        <v>543</v>
      </c>
      <c r="E55" s="722">
        <f t="shared" si="4"/>
        <v>814.73</v>
      </c>
      <c r="F55" s="722">
        <v>0</v>
      </c>
      <c r="G55" s="732">
        <v>814.73</v>
      </c>
      <c r="H55" s="722">
        <v>0</v>
      </c>
      <c r="I55" s="722">
        <f t="shared" si="3"/>
        <v>801.66</v>
      </c>
      <c r="J55" s="722">
        <v>0</v>
      </c>
      <c r="K55" s="730">
        <v>801.66</v>
      </c>
      <c r="L55" s="722">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x14ac:dyDescent="0.25">
      <c r="A56" s="613"/>
      <c r="B56" s="650" t="s">
        <v>636</v>
      </c>
      <c r="C56" s="725" t="s">
        <v>62</v>
      </c>
      <c r="D56" s="724" t="s">
        <v>543</v>
      </c>
      <c r="E56" s="722">
        <f t="shared" si="4"/>
        <v>91.48</v>
      </c>
      <c r="F56" s="722">
        <v>0</v>
      </c>
      <c r="G56" s="732">
        <v>91.48</v>
      </c>
      <c r="H56" s="722">
        <v>0</v>
      </c>
      <c r="I56" s="722">
        <f t="shared" si="3"/>
        <v>559.64599999999996</v>
      </c>
      <c r="J56" s="722">
        <v>0</v>
      </c>
      <c r="K56" s="730">
        <v>91.475999999999999</v>
      </c>
      <c r="L56" s="722">
        <v>468.17</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x14ac:dyDescent="0.25">
      <c r="A57" s="753" t="s">
        <v>339</v>
      </c>
      <c r="B57" s="442" t="s">
        <v>604</v>
      </c>
      <c r="C57" s="194" t="s">
        <v>62</v>
      </c>
      <c r="D57" s="194" t="s">
        <v>543</v>
      </c>
      <c r="E57" s="757">
        <f t="shared" si="4"/>
        <v>3945.4290000000001</v>
      </c>
      <c r="F57" s="757">
        <f>SUM(F58:F62)</f>
        <v>0</v>
      </c>
      <c r="G57" s="105">
        <f>SUM(G58:G62)</f>
        <v>3945.4290000000001</v>
      </c>
      <c r="H57" s="757">
        <f>SUM(H58:H62)</f>
        <v>0</v>
      </c>
      <c r="I57" s="757">
        <f t="shared" si="3"/>
        <v>1793.4250000000002</v>
      </c>
      <c r="J57" s="757">
        <f>SUM(J58:J62)</f>
        <v>0</v>
      </c>
      <c r="K57" s="105">
        <f>SUM(K58:K62)</f>
        <v>1620.2850000000001</v>
      </c>
      <c r="L57" s="757">
        <f>SUM(L58:L62)</f>
        <v>173.14</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x14ac:dyDescent="0.25">
      <c r="A58" s="613"/>
      <c r="B58" s="622" t="s">
        <v>637</v>
      </c>
      <c r="C58" s="725" t="s">
        <v>62</v>
      </c>
      <c r="D58" s="724" t="s">
        <v>543</v>
      </c>
      <c r="E58" s="721">
        <f t="shared" si="0"/>
        <v>0</v>
      </c>
      <c r="F58" s="721">
        <v>0</v>
      </c>
      <c r="G58" s="729">
        <v>0</v>
      </c>
      <c r="H58" s="721">
        <v>0</v>
      </c>
      <c r="I58" s="722">
        <f t="shared" si="3"/>
        <v>58.42</v>
      </c>
      <c r="J58" s="722">
        <v>0</v>
      </c>
      <c r="K58" s="730">
        <v>0</v>
      </c>
      <c r="L58" s="722">
        <v>58.42</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x14ac:dyDescent="0.25">
      <c r="A59" s="613"/>
      <c r="B59" s="646" t="s">
        <v>638</v>
      </c>
      <c r="C59" s="725" t="s">
        <v>62</v>
      </c>
      <c r="D59" s="724" t="s">
        <v>543</v>
      </c>
      <c r="E59" s="721">
        <f t="shared" si="0"/>
        <v>553.6</v>
      </c>
      <c r="F59" s="721">
        <v>0</v>
      </c>
      <c r="G59" s="729">
        <v>553.6</v>
      </c>
      <c r="H59" s="721">
        <v>0</v>
      </c>
      <c r="I59" s="722">
        <f t="shared" si="3"/>
        <v>0</v>
      </c>
      <c r="J59" s="722">
        <v>0</v>
      </c>
      <c r="K59" s="730">
        <v>0</v>
      </c>
      <c r="L59" s="722">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x14ac:dyDescent="0.25">
      <c r="A60" s="613"/>
      <c r="B60" s="646" t="s">
        <v>639</v>
      </c>
      <c r="C60" s="725" t="s">
        <v>62</v>
      </c>
      <c r="D60" s="724" t="s">
        <v>543</v>
      </c>
      <c r="E60" s="721">
        <f t="shared" si="0"/>
        <v>20.25</v>
      </c>
      <c r="F60" s="721">
        <v>0</v>
      </c>
      <c r="G60" s="732">
        <v>20.25</v>
      </c>
      <c r="H60" s="721">
        <v>0</v>
      </c>
      <c r="I60" s="722">
        <f t="shared" si="3"/>
        <v>0</v>
      </c>
      <c r="J60" s="722">
        <v>0</v>
      </c>
      <c r="K60" s="730">
        <v>0</v>
      </c>
      <c r="L60" s="722">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x14ac:dyDescent="0.25">
      <c r="A61" s="753"/>
      <c r="B61" s="646" t="s">
        <v>640</v>
      </c>
      <c r="C61" s="725" t="s">
        <v>62</v>
      </c>
      <c r="D61" s="724" t="s">
        <v>543</v>
      </c>
      <c r="E61" s="721">
        <f t="shared" si="0"/>
        <v>67.2</v>
      </c>
      <c r="F61" s="721">
        <v>0</v>
      </c>
      <c r="G61" s="729">
        <v>67.2</v>
      </c>
      <c r="H61" s="721">
        <v>0</v>
      </c>
      <c r="I61" s="722">
        <f t="shared" si="3"/>
        <v>0</v>
      </c>
      <c r="J61" s="722">
        <v>0</v>
      </c>
      <c r="K61" s="730">
        <v>0</v>
      </c>
      <c r="L61" s="722">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x14ac:dyDescent="0.25">
      <c r="A62" s="753"/>
      <c r="B62" s="646" t="s">
        <v>641</v>
      </c>
      <c r="C62" s="725" t="s">
        <v>62</v>
      </c>
      <c r="D62" s="724" t="s">
        <v>543</v>
      </c>
      <c r="E62" s="721">
        <f t="shared" si="0"/>
        <v>3304.3789999999999</v>
      </c>
      <c r="F62" s="721">
        <v>0</v>
      </c>
      <c r="G62" s="732">
        <v>3304.3789999999999</v>
      </c>
      <c r="H62" s="721">
        <v>0</v>
      </c>
      <c r="I62" s="722">
        <f t="shared" si="3"/>
        <v>1735.0050000000001</v>
      </c>
      <c r="J62" s="722">
        <v>0</v>
      </c>
      <c r="K62" s="730">
        <v>1620.2850000000001</v>
      </c>
      <c r="L62" s="722">
        <v>114.72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x14ac:dyDescent="0.25">
      <c r="A63" s="753" t="s">
        <v>343</v>
      </c>
      <c r="B63" s="442" t="s">
        <v>495</v>
      </c>
      <c r="C63" s="194" t="s">
        <v>62</v>
      </c>
      <c r="D63" s="194" t="s">
        <v>543</v>
      </c>
      <c r="E63" s="757">
        <f t="shared" si="0"/>
        <v>237.5</v>
      </c>
      <c r="F63" s="757">
        <v>0</v>
      </c>
      <c r="G63" s="105">
        <v>0</v>
      </c>
      <c r="H63" s="844">
        <v>237.5</v>
      </c>
      <c r="I63" s="757">
        <f t="shared" si="3"/>
        <v>0</v>
      </c>
      <c r="J63" s="757">
        <v>0</v>
      </c>
      <c r="K63" s="745">
        <v>0</v>
      </c>
      <c r="L63" s="757">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x14ac:dyDescent="0.25">
      <c r="A64" s="751" t="s">
        <v>132</v>
      </c>
      <c r="B64" s="822" t="s">
        <v>131</v>
      </c>
      <c r="C64" s="823"/>
      <c r="D64" s="823"/>
      <c r="E64" s="824">
        <f t="shared" si="0"/>
        <v>195994.41999999998</v>
      </c>
      <c r="F64" s="824">
        <f>SUM(F65+F69+F72+F73)</f>
        <v>66489.42</v>
      </c>
      <c r="G64" s="827">
        <f>SUM(G65+G69+G72+G73)</f>
        <v>300</v>
      </c>
      <c r="H64" s="824">
        <f>SUM(H65+H69+H72+H73)</f>
        <v>129205</v>
      </c>
      <c r="I64" s="824">
        <f t="shared" si="3"/>
        <v>43898.039999999994</v>
      </c>
      <c r="J64" s="824">
        <f>J65+J69+J72+J73</f>
        <v>26648.94</v>
      </c>
      <c r="K64" s="827">
        <f>K65+K69+K72+K73</f>
        <v>0</v>
      </c>
      <c r="L64" s="824">
        <f>L65+L69+L72+L73</f>
        <v>17249.099999999999</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x14ac:dyDescent="0.25">
      <c r="A65" s="753" t="s">
        <v>570</v>
      </c>
      <c r="B65" s="442" t="s">
        <v>571</v>
      </c>
      <c r="C65" s="194" t="s">
        <v>62</v>
      </c>
      <c r="D65" s="194" t="s">
        <v>543</v>
      </c>
      <c r="E65" s="757">
        <f t="shared" si="0"/>
        <v>188433.41999999998</v>
      </c>
      <c r="F65" s="757">
        <f>SUM(F66:F68)</f>
        <v>66489.42</v>
      </c>
      <c r="G65" s="105">
        <f>SUM(G66:G68)</f>
        <v>0</v>
      </c>
      <c r="H65" s="757">
        <f>SUM(H66:H68)</f>
        <v>121944</v>
      </c>
      <c r="I65" s="757">
        <f t="shared" si="3"/>
        <v>42576.46</v>
      </c>
      <c r="J65" s="105">
        <f>SUM(J66:J68)</f>
        <v>26648.94</v>
      </c>
      <c r="K65" s="105">
        <f>SUM(K66:K68)</f>
        <v>0</v>
      </c>
      <c r="L65" s="757">
        <f>SUM(L66:L68)</f>
        <v>15927.52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x14ac:dyDescent="0.25">
      <c r="A66" s="653"/>
      <c r="B66" s="646" t="s">
        <v>642</v>
      </c>
      <c r="C66" s="725" t="s">
        <v>62</v>
      </c>
      <c r="D66" s="725" t="s">
        <v>543</v>
      </c>
      <c r="E66" s="727">
        <f t="shared" si="0"/>
        <v>188433.41999999998</v>
      </c>
      <c r="F66" s="727">
        <v>66489.42</v>
      </c>
      <c r="G66" s="734">
        <v>0</v>
      </c>
      <c r="H66" s="727">
        <v>121944</v>
      </c>
      <c r="I66" s="727">
        <f t="shared" si="3"/>
        <v>42576.46</v>
      </c>
      <c r="J66" s="727">
        <v>26648.94</v>
      </c>
      <c r="K66" s="759">
        <v>0</v>
      </c>
      <c r="L66" s="727">
        <v>15927.52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x14ac:dyDescent="0.25">
      <c r="A67" s="653"/>
      <c r="B67" s="646" t="s">
        <v>643</v>
      </c>
      <c r="C67" s="725" t="s">
        <v>62</v>
      </c>
      <c r="D67" s="725" t="s">
        <v>543</v>
      </c>
      <c r="E67" s="727">
        <f t="shared" si="0"/>
        <v>0</v>
      </c>
      <c r="F67" s="727">
        <v>0</v>
      </c>
      <c r="G67" s="735">
        <v>0</v>
      </c>
      <c r="H67" s="727">
        <v>0</v>
      </c>
      <c r="I67" s="727">
        <f t="shared" si="3"/>
        <v>0</v>
      </c>
      <c r="J67" s="727">
        <v>0</v>
      </c>
      <c r="K67" s="759">
        <v>0</v>
      </c>
      <c r="L67" s="727">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x14ac:dyDescent="0.25">
      <c r="A68" s="653"/>
      <c r="B68" s="646" t="s">
        <v>644</v>
      </c>
      <c r="C68" s="725" t="s">
        <v>62</v>
      </c>
      <c r="D68" s="725" t="s">
        <v>543</v>
      </c>
      <c r="E68" s="727">
        <f t="shared" si="0"/>
        <v>0</v>
      </c>
      <c r="F68" s="727">
        <v>0</v>
      </c>
      <c r="G68" s="735">
        <v>0</v>
      </c>
      <c r="H68" s="727">
        <v>0</v>
      </c>
      <c r="I68" s="727">
        <f t="shared" si="3"/>
        <v>0</v>
      </c>
      <c r="J68" s="727">
        <v>0</v>
      </c>
      <c r="K68" s="759">
        <v>0</v>
      </c>
      <c r="L68" s="727">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x14ac:dyDescent="0.25">
      <c r="A69" s="753" t="s">
        <v>586</v>
      </c>
      <c r="B69" s="442" t="s">
        <v>587</v>
      </c>
      <c r="C69" s="194" t="s">
        <v>62</v>
      </c>
      <c r="D69" s="194" t="s">
        <v>550</v>
      </c>
      <c r="E69" s="757">
        <f>SUM(F69:H69)</f>
        <v>300</v>
      </c>
      <c r="F69" s="757">
        <f>SUM(F70:F71)</f>
        <v>0</v>
      </c>
      <c r="G69" s="105">
        <f>SUM(G70:G71)</f>
        <v>300</v>
      </c>
      <c r="H69" s="757">
        <f>SUM(H70:H71)</f>
        <v>0</v>
      </c>
      <c r="I69" s="757">
        <f t="shared" si="3"/>
        <v>0</v>
      </c>
      <c r="J69" s="757">
        <f>SUM(J70:J71)</f>
        <v>0</v>
      </c>
      <c r="K69" s="105">
        <f>SUM(K70:K71)</f>
        <v>0</v>
      </c>
      <c r="L69" s="757">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x14ac:dyDescent="0.25">
      <c r="A70" s="653"/>
      <c r="B70" s="646" t="s">
        <v>645</v>
      </c>
      <c r="C70" s="725" t="s">
        <v>62</v>
      </c>
      <c r="D70" s="725" t="s">
        <v>550</v>
      </c>
      <c r="E70" s="727">
        <f>SUM(F70:H70)</f>
        <v>0</v>
      </c>
      <c r="F70" s="727">
        <v>0</v>
      </c>
      <c r="G70" s="735">
        <v>0</v>
      </c>
      <c r="H70" s="727">
        <v>0</v>
      </c>
      <c r="I70" s="727">
        <f t="shared" si="3"/>
        <v>0</v>
      </c>
      <c r="J70" s="727">
        <v>0</v>
      </c>
      <c r="K70" s="759">
        <v>0</v>
      </c>
      <c r="L70" s="727">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x14ac:dyDescent="0.25">
      <c r="A71" s="653"/>
      <c r="B71" s="646" t="s">
        <v>646</v>
      </c>
      <c r="C71" s="725" t="s">
        <v>62</v>
      </c>
      <c r="D71" s="725" t="s">
        <v>550</v>
      </c>
      <c r="E71" s="727">
        <f>SUM(F71:H71)</f>
        <v>300</v>
      </c>
      <c r="F71" s="727">
        <v>0</v>
      </c>
      <c r="G71" s="735">
        <v>300</v>
      </c>
      <c r="H71" s="727">
        <v>0</v>
      </c>
      <c r="I71" s="727">
        <f t="shared" si="3"/>
        <v>0</v>
      </c>
      <c r="J71" s="727">
        <v>0</v>
      </c>
      <c r="K71" s="759">
        <v>0</v>
      </c>
      <c r="L71" s="727">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x14ac:dyDescent="0.25">
      <c r="A72" s="753" t="s">
        <v>367</v>
      </c>
      <c r="B72" s="442" t="s">
        <v>572</v>
      </c>
      <c r="C72" s="194" t="s">
        <v>62</v>
      </c>
      <c r="D72" s="194" t="s">
        <v>543</v>
      </c>
      <c r="E72" s="757">
        <f t="shared" si="0"/>
        <v>420</v>
      </c>
      <c r="F72" s="757">
        <v>0</v>
      </c>
      <c r="G72" s="105">
        <v>0</v>
      </c>
      <c r="H72" s="757">
        <v>420</v>
      </c>
      <c r="I72" s="757">
        <f t="shared" si="3"/>
        <v>0</v>
      </c>
      <c r="J72" s="757">
        <v>0</v>
      </c>
      <c r="K72" s="745">
        <v>0</v>
      </c>
      <c r="L72" s="757">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x14ac:dyDescent="0.25">
      <c r="A73" s="753" t="s">
        <v>514</v>
      </c>
      <c r="B73" s="442" t="s">
        <v>573</v>
      </c>
      <c r="C73" s="194" t="s">
        <v>599</v>
      </c>
      <c r="D73" s="194" t="s">
        <v>543</v>
      </c>
      <c r="E73" s="757">
        <f t="shared" si="0"/>
        <v>6841</v>
      </c>
      <c r="F73" s="757">
        <v>0</v>
      </c>
      <c r="G73" s="105">
        <v>0</v>
      </c>
      <c r="H73" s="757">
        <v>6841</v>
      </c>
      <c r="I73" s="757">
        <f t="shared" si="3"/>
        <v>1321.58</v>
      </c>
      <c r="J73" s="757">
        <v>0</v>
      </c>
      <c r="K73" s="745">
        <v>0</v>
      </c>
      <c r="L73" s="757">
        <v>1321.58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x14ac:dyDescent="0.25">
      <c r="A74" s="751" t="s">
        <v>379</v>
      </c>
      <c r="B74" s="822" t="s">
        <v>574</v>
      </c>
      <c r="C74" s="823"/>
      <c r="D74" s="823"/>
      <c r="E74" s="824">
        <f>SUM(F74:H74)</f>
        <v>36828.245999999999</v>
      </c>
      <c r="F74" s="824">
        <f>F75+F81+F82</f>
        <v>29969.599999999999</v>
      </c>
      <c r="G74" s="827">
        <f>G75+G81+G82</f>
        <v>6570.6460000000006</v>
      </c>
      <c r="H74" s="824">
        <f>H75+H81+H82</f>
        <v>288</v>
      </c>
      <c r="I74" s="824">
        <f t="shared" ref="I74:I82" si="5">SUM(J74:L74)</f>
        <v>19476.493999999999</v>
      </c>
      <c r="J74" s="824">
        <f>J75+J81+J82</f>
        <v>10377.439999999999</v>
      </c>
      <c r="K74" s="827">
        <f>K75+K81+K82</f>
        <v>2923.5040000000004</v>
      </c>
      <c r="L74" s="824">
        <f>L75+L81+L82</f>
        <v>6175.55</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9.25" customHeight="1" x14ac:dyDescent="0.25">
      <c r="A75" s="753" t="s">
        <v>380</v>
      </c>
      <c r="B75" s="845" t="s">
        <v>598</v>
      </c>
      <c r="C75" s="194" t="s">
        <v>62</v>
      </c>
      <c r="D75" s="194" t="s">
        <v>543</v>
      </c>
      <c r="E75" s="757">
        <f t="shared" si="0"/>
        <v>36540.245999999999</v>
      </c>
      <c r="F75" s="830">
        <f>SUM(F76:F80)</f>
        <v>29969.599999999999</v>
      </c>
      <c r="G75" s="837">
        <f>SUM(G76:G80)</f>
        <v>6570.6460000000006</v>
      </c>
      <c r="H75" s="830">
        <f>SUM(H76:H80)</f>
        <v>0</v>
      </c>
      <c r="I75" s="757">
        <f t="shared" si="5"/>
        <v>17850.124</v>
      </c>
      <c r="J75" s="757">
        <f>SUM(J76:J80)</f>
        <v>10377.439999999999</v>
      </c>
      <c r="K75" s="105">
        <f>SUM(K76:K80)</f>
        <v>2923.5040000000004</v>
      </c>
      <c r="L75" s="757">
        <f>SUM(L76:L80)</f>
        <v>4549.18</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36" customHeight="1" x14ac:dyDescent="0.2">
      <c r="A76" s="613"/>
      <c r="B76" s="758" t="s">
        <v>647</v>
      </c>
      <c r="C76" s="724" t="s">
        <v>62</v>
      </c>
      <c r="D76" s="724" t="s">
        <v>543</v>
      </c>
      <c r="E76" s="722">
        <f t="shared" si="0"/>
        <v>32994.485999999997</v>
      </c>
      <c r="F76" s="722">
        <v>29969.599999999999</v>
      </c>
      <c r="G76" s="733">
        <v>3024.886</v>
      </c>
      <c r="H76" s="722">
        <v>0</v>
      </c>
      <c r="I76" s="722">
        <f t="shared" si="5"/>
        <v>11553.623</v>
      </c>
      <c r="J76" s="722">
        <v>5956.58</v>
      </c>
      <c r="K76" s="733">
        <v>2890.2130000000002</v>
      </c>
      <c r="L76" s="722">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26.25" customHeight="1" x14ac:dyDescent="0.2">
      <c r="A77" s="613"/>
      <c r="B77" s="758" t="s">
        <v>648</v>
      </c>
      <c r="C77" s="724" t="s">
        <v>62</v>
      </c>
      <c r="D77" s="724" t="s">
        <v>543</v>
      </c>
      <c r="E77" s="722">
        <f t="shared" si="0"/>
        <v>2350</v>
      </c>
      <c r="F77" s="722">
        <v>0</v>
      </c>
      <c r="G77" s="730">
        <v>2350</v>
      </c>
      <c r="H77" s="722">
        <v>0</v>
      </c>
      <c r="I77" s="722">
        <f t="shared" si="5"/>
        <v>5924.2</v>
      </c>
      <c r="J77" s="722">
        <v>4420.8599999999997</v>
      </c>
      <c r="K77" s="730">
        <v>0</v>
      </c>
      <c r="L77" s="722">
        <v>1503.34</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27" customHeight="1" x14ac:dyDescent="0.2">
      <c r="A78" s="613"/>
      <c r="B78" s="758" t="s">
        <v>649</v>
      </c>
      <c r="C78" s="724" t="s">
        <v>62</v>
      </c>
      <c r="D78" s="724" t="s">
        <v>543</v>
      </c>
      <c r="E78" s="722">
        <f t="shared" si="0"/>
        <v>0</v>
      </c>
      <c r="F78" s="722">
        <v>0</v>
      </c>
      <c r="G78" s="730">
        <v>0</v>
      </c>
      <c r="H78" s="722">
        <v>0</v>
      </c>
      <c r="I78" s="722">
        <f t="shared" si="5"/>
        <v>0</v>
      </c>
      <c r="J78" s="722">
        <v>0</v>
      </c>
      <c r="K78" s="730">
        <v>0</v>
      </c>
      <c r="L78" s="722">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9.25" customHeight="1" x14ac:dyDescent="0.2">
      <c r="A79" s="613"/>
      <c r="B79" s="758" t="s">
        <v>650</v>
      </c>
      <c r="C79" s="724" t="s">
        <v>62</v>
      </c>
      <c r="D79" s="724" t="s">
        <v>543</v>
      </c>
      <c r="E79" s="722">
        <f t="shared" si="0"/>
        <v>1195.76</v>
      </c>
      <c r="F79" s="722">
        <v>0</v>
      </c>
      <c r="G79" s="730">
        <v>1195.76</v>
      </c>
      <c r="H79" s="722">
        <v>0</v>
      </c>
      <c r="I79" s="722">
        <f t="shared" si="5"/>
        <v>140.131</v>
      </c>
      <c r="J79" s="722">
        <v>0</v>
      </c>
      <c r="K79" s="733">
        <v>33.290999999999997</v>
      </c>
      <c r="L79" s="722">
        <v>106.84</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9" customHeight="1" x14ac:dyDescent="0.2">
      <c r="A80" s="613"/>
      <c r="B80" s="758" t="s">
        <v>651</v>
      </c>
      <c r="C80" s="724" t="s">
        <v>62</v>
      </c>
      <c r="D80" s="724" t="s">
        <v>543</v>
      </c>
      <c r="E80" s="722">
        <f t="shared" si="0"/>
        <v>0</v>
      </c>
      <c r="F80" s="722">
        <v>0</v>
      </c>
      <c r="G80" s="730">
        <v>0</v>
      </c>
      <c r="H80" s="722">
        <v>0</v>
      </c>
      <c r="I80" s="722">
        <f t="shared" si="5"/>
        <v>232.17</v>
      </c>
      <c r="J80" s="722">
        <v>0</v>
      </c>
      <c r="K80" s="730">
        <v>0</v>
      </c>
      <c r="L80" s="722">
        <v>232.17</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8.5" customHeight="1" x14ac:dyDescent="0.25">
      <c r="A81" s="753" t="s">
        <v>576</v>
      </c>
      <c r="B81" s="845" t="s">
        <v>577</v>
      </c>
      <c r="C81" s="194" t="s">
        <v>575</v>
      </c>
      <c r="D81" s="194" t="s">
        <v>543</v>
      </c>
      <c r="E81" s="757">
        <f>SUM(F81:H81)</f>
        <v>0</v>
      </c>
      <c r="F81" s="757">
        <v>0</v>
      </c>
      <c r="G81" s="105">
        <v>0</v>
      </c>
      <c r="H81" s="830">
        <v>0</v>
      </c>
      <c r="I81" s="757">
        <f t="shared" si="5"/>
        <v>1626.37</v>
      </c>
      <c r="J81" s="757">
        <v>0</v>
      </c>
      <c r="K81" s="745">
        <v>0</v>
      </c>
      <c r="L81" s="757">
        <v>1626.37</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x14ac:dyDescent="0.25">
      <c r="A82" s="753" t="s">
        <v>384</v>
      </c>
      <c r="B82" s="442" t="s">
        <v>578</v>
      </c>
      <c r="C82" s="194" t="s">
        <v>62</v>
      </c>
      <c r="D82" s="194" t="s">
        <v>543</v>
      </c>
      <c r="E82" s="757">
        <f>SUM(F82:H82)</f>
        <v>288</v>
      </c>
      <c r="F82" s="757">
        <v>0</v>
      </c>
      <c r="G82" s="105">
        <v>0</v>
      </c>
      <c r="H82" s="830">
        <v>288</v>
      </c>
      <c r="I82" s="757">
        <f t="shared" si="5"/>
        <v>0</v>
      </c>
      <c r="J82" s="757">
        <v>0</v>
      </c>
      <c r="K82" s="745">
        <v>0</v>
      </c>
      <c r="L82" s="194">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x14ac:dyDescent="0.25">
      <c r="A83" s="1216" t="s">
        <v>7</v>
      </c>
      <c r="B83" s="1216"/>
      <c r="C83" s="1216"/>
      <c r="D83" s="1216"/>
      <c r="E83" s="755">
        <f>SUM(F83:H83)</f>
        <v>288698.5</v>
      </c>
      <c r="F83" s="662">
        <f>F12+F32+F43+F64+F74</f>
        <v>102576.70999999999</v>
      </c>
      <c r="G83" s="297">
        <f>G12+G32+G43+G64+G74</f>
        <v>14735.210000000001</v>
      </c>
      <c r="H83" s="662">
        <f>H12+H32+H43+H64+H74</f>
        <v>171386.58000000002</v>
      </c>
      <c r="I83" s="663">
        <f>SUM(J83:L83)</f>
        <v>102170.09625999999</v>
      </c>
      <c r="J83" s="663">
        <f>J12+J32+J43+J64+J74</f>
        <v>41843.33296</v>
      </c>
      <c r="K83" s="111">
        <f>K12+K32+K43+K64+K74</f>
        <v>6563.4470000000001</v>
      </c>
      <c r="L83" s="663">
        <f>L12+L32+L43+L64+L74</f>
        <v>53763.316299999999</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x14ac:dyDescent="0.25">
      <c r="A84" s="589"/>
      <c r="G84" s="664"/>
      <c r="L84" s="665"/>
    </row>
    <row r="85" spans="1:69" s="666" customFormat="1" ht="18.75" x14ac:dyDescent="0.3">
      <c r="B85" s="698" t="s">
        <v>822</v>
      </c>
      <c r="C85" s="668" t="s">
        <v>821</v>
      </c>
      <c r="H85" s="669"/>
      <c r="I85" s="739"/>
      <c r="J85" s="670"/>
      <c r="K85" s="670"/>
      <c r="L85" s="670"/>
      <c r="M85" s="670"/>
      <c r="N85" s="670"/>
      <c r="O85" s="670"/>
      <c r="P85" s="670"/>
      <c r="Q85" s="670"/>
      <c r="R85" s="670"/>
      <c r="S85" s="670"/>
      <c r="T85" s="670"/>
      <c r="U85" s="670"/>
      <c r="V85" s="670"/>
      <c r="W85" s="670"/>
      <c r="X85" s="670"/>
    </row>
    <row r="86" spans="1:69" s="666" customFormat="1" ht="29.25" customHeight="1" x14ac:dyDescent="0.3">
      <c r="B86" s="667"/>
      <c r="C86" s="668"/>
      <c r="H86" s="669"/>
      <c r="I86" s="739"/>
      <c r="J86" s="670"/>
      <c r="K86" s="670"/>
      <c r="L86" s="670"/>
      <c r="M86" s="670"/>
      <c r="N86" s="670"/>
      <c r="O86" s="670"/>
      <c r="P86" s="670"/>
      <c r="Q86" s="670"/>
      <c r="R86" s="670"/>
      <c r="S86" s="670"/>
      <c r="T86" s="670"/>
      <c r="U86" s="670"/>
      <c r="V86" s="670"/>
      <c r="W86" s="670"/>
      <c r="X86" s="670"/>
    </row>
    <row r="87" spans="1:69" s="671" customFormat="1" ht="16.5" customHeight="1" x14ac:dyDescent="0.25">
      <c r="B87" s="672" t="s">
        <v>838</v>
      </c>
      <c r="C87" s="673"/>
      <c r="H87" s="319"/>
      <c r="I87" s="740"/>
      <c r="J87" s="265"/>
      <c r="K87" s="265"/>
      <c r="L87" s="265"/>
      <c r="M87" s="265"/>
      <c r="N87" s="265"/>
      <c r="O87" s="265"/>
      <c r="P87" s="265"/>
      <c r="Q87" s="265"/>
      <c r="R87" s="265"/>
      <c r="S87" s="265"/>
      <c r="T87" s="265"/>
      <c r="U87" s="265"/>
      <c r="V87" s="265"/>
      <c r="W87" s="265"/>
      <c r="X87" s="265"/>
    </row>
    <row r="88" spans="1:69" s="125" customFormat="1" ht="16.5" customHeight="1" x14ac:dyDescent="0.25">
      <c r="B88" s="237"/>
      <c r="C88" s="238"/>
      <c r="H88" s="319"/>
      <c r="I88" s="740"/>
      <c r="J88" s="124"/>
      <c r="K88" s="124"/>
      <c r="L88" s="124"/>
      <c r="M88" s="124"/>
      <c r="N88" s="124"/>
      <c r="O88" s="124"/>
      <c r="P88" s="124"/>
      <c r="Q88" s="124"/>
      <c r="R88" s="124"/>
      <c r="S88" s="124"/>
      <c r="T88" s="124"/>
      <c r="U88" s="124"/>
      <c r="V88" s="124"/>
      <c r="W88" s="124"/>
      <c r="X88" s="124"/>
    </row>
    <row r="89" spans="1:69" x14ac:dyDescent="0.25">
      <c r="A89" s="589"/>
      <c r="L89" s="665"/>
    </row>
    <row r="90" spans="1:69" x14ac:dyDescent="0.25">
      <c r="A90" s="674" t="s">
        <v>8</v>
      </c>
      <c r="B90" s="675"/>
      <c r="C90" s="676"/>
      <c r="D90" s="676"/>
      <c r="E90" s="677"/>
      <c r="F90" s="678"/>
      <c r="G90" s="679"/>
      <c r="H90" s="679"/>
      <c r="I90" s="741"/>
      <c r="J90" s="680"/>
      <c r="L90" s="665"/>
    </row>
    <row r="91" spans="1:69" x14ac:dyDescent="0.25">
      <c r="A91" s="681"/>
      <c r="B91" s="682"/>
      <c r="C91" s="582"/>
      <c r="D91" s="582"/>
      <c r="E91" s="677"/>
      <c r="F91" s="678"/>
      <c r="G91" s="679"/>
      <c r="H91" s="679"/>
      <c r="I91" s="742"/>
      <c r="J91" s="679" t="s">
        <v>9</v>
      </c>
      <c r="L91" s="665"/>
    </row>
    <row r="92" spans="1:69" x14ac:dyDescent="0.25">
      <c r="A92" s="681"/>
      <c r="B92" s="1204" t="s">
        <v>10</v>
      </c>
      <c r="C92" s="1205"/>
      <c r="D92" s="1206"/>
      <c r="E92" s="1207" t="s">
        <v>11</v>
      </c>
      <c r="F92" s="1208"/>
      <c r="G92" s="1209"/>
      <c r="H92" s="1207" t="s">
        <v>12</v>
      </c>
      <c r="I92" s="1208"/>
      <c r="J92" s="1209"/>
    </row>
    <row r="93" spans="1:69" ht="31.5" x14ac:dyDescent="0.25">
      <c r="A93" s="681"/>
      <c r="B93" s="194" t="s">
        <v>13</v>
      </c>
      <c r="C93" s="194" t="s">
        <v>14</v>
      </c>
      <c r="D93" s="194" t="s">
        <v>15</v>
      </c>
      <c r="E93" s="683" t="s">
        <v>13</v>
      </c>
      <c r="F93" s="683" t="s">
        <v>14</v>
      </c>
      <c r="G93" s="683" t="s">
        <v>15</v>
      </c>
      <c r="H93" s="683" t="s">
        <v>13</v>
      </c>
      <c r="I93" s="738" t="s">
        <v>14</v>
      </c>
      <c r="J93" s="683" t="s">
        <v>15</v>
      </c>
    </row>
    <row r="94" spans="1:69" x14ac:dyDescent="0.25">
      <c r="A94" s="684"/>
      <c r="B94" s="685">
        <f>SUM(C94:D94)</f>
        <v>288698.50000000006</v>
      </c>
      <c r="C94" s="685">
        <f>G83</f>
        <v>14735.210000000001</v>
      </c>
      <c r="D94" s="686">
        <f>H83+F83</f>
        <v>273963.29000000004</v>
      </c>
      <c r="E94" s="687">
        <f>SUM(F94:G94)</f>
        <v>102170.09626000001</v>
      </c>
      <c r="F94" s="687">
        <f>K83</f>
        <v>6563.4470000000001</v>
      </c>
      <c r="G94" s="687">
        <f>J83+L83</f>
        <v>95606.649260000006</v>
      </c>
      <c r="H94" s="662">
        <f>B94-E94</f>
        <v>186528.40374000004</v>
      </c>
      <c r="I94" s="743">
        <f>F94-C94</f>
        <v>-8171.7630000000008</v>
      </c>
      <c r="J94" s="688">
        <f>G94-D94</f>
        <v>-178356.64074000003</v>
      </c>
    </row>
    <row r="95" spans="1:69" x14ac:dyDescent="0.25">
      <c r="A95" s="589"/>
      <c r="C95" s="689"/>
    </row>
    <row r="96" spans="1:69" x14ac:dyDescent="0.25">
      <c r="A96" s="589"/>
    </row>
    <row r="97" spans="1:24" s="666" customFormat="1" ht="18.75" x14ac:dyDescent="0.3">
      <c r="B97" s="698" t="s">
        <v>822</v>
      </c>
      <c r="C97" s="668" t="s">
        <v>821</v>
      </c>
      <c r="H97" s="669"/>
      <c r="I97" s="739"/>
      <c r="J97" s="670"/>
      <c r="K97" s="670"/>
      <c r="L97" s="670"/>
      <c r="M97" s="670"/>
      <c r="N97" s="670"/>
      <c r="O97" s="670"/>
      <c r="P97" s="670"/>
      <c r="Q97" s="670"/>
      <c r="R97" s="670"/>
      <c r="S97" s="670"/>
      <c r="T97" s="670"/>
      <c r="U97" s="670"/>
      <c r="V97" s="670"/>
      <c r="W97" s="670"/>
      <c r="X97" s="670"/>
    </row>
    <row r="98" spans="1:24" s="666" customFormat="1" ht="29.25" customHeight="1" x14ac:dyDescent="0.3">
      <c r="B98" s="667"/>
      <c r="C98" s="668"/>
      <c r="H98" s="669"/>
      <c r="I98" s="739"/>
      <c r="J98" s="670"/>
      <c r="K98" s="670"/>
      <c r="L98" s="670"/>
      <c r="M98" s="670"/>
      <c r="N98" s="670"/>
      <c r="O98" s="670"/>
      <c r="P98" s="670"/>
      <c r="Q98" s="670"/>
      <c r="R98" s="670"/>
      <c r="S98" s="670"/>
      <c r="T98" s="670"/>
      <c r="U98" s="670"/>
      <c r="V98" s="670"/>
      <c r="W98" s="670"/>
      <c r="X98" s="670"/>
    </row>
    <row r="99" spans="1:24" s="671" customFormat="1" ht="16.5" customHeight="1" x14ac:dyDescent="0.25">
      <c r="B99" s="672" t="s">
        <v>838</v>
      </c>
      <c r="C99" s="673"/>
      <c r="H99" s="319"/>
      <c r="I99" s="740"/>
      <c r="J99" s="265"/>
      <c r="K99" s="265"/>
      <c r="L99" s="265"/>
      <c r="M99" s="265"/>
      <c r="N99" s="265"/>
      <c r="O99" s="265"/>
      <c r="P99" s="265"/>
      <c r="Q99" s="265"/>
      <c r="R99" s="265"/>
      <c r="S99" s="265"/>
      <c r="T99" s="265"/>
      <c r="U99" s="265"/>
      <c r="V99" s="265"/>
      <c r="W99" s="265"/>
      <c r="X99" s="265"/>
    </row>
    <row r="100" spans="1:24" x14ac:dyDescent="0.25">
      <c r="A100" s="589"/>
    </row>
    <row r="101" spans="1:24" x14ac:dyDescent="0.25">
      <c r="A101" s="589"/>
    </row>
    <row r="102" spans="1:24" x14ac:dyDescent="0.25">
      <c r="A102" s="589"/>
    </row>
    <row r="103" spans="1:24" x14ac:dyDescent="0.25">
      <c r="A103" s="589"/>
    </row>
    <row r="104" spans="1:24" x14ac:dyDescent="0.25">
      <c r="A104" s="589"/>
    </row>
    <row r="105" spans="1:24" x14ac:dyDescent="0.25">
      <c r="A105" s="589"/>
    </row>
    <row r="106" spans="1:24" x14ac:dyDescent="0.25">
      <c r="A106" s="589"/>
    </row>
    <row r="107" spans="1:24" x14ac:dyDescent="0.25">
      <c r="A107" s="589"/>
    </row>
    <row r="108" spans="1:24" x14ac:dyDescent="0.25">
      <c r="A108" s="589"/>
    </row>
    <row r="109" spans="1:24" x14ac:dyDescent="0.25">
      <c r="A109" s="589"/>
    </row>
    <row r="110" spans="1:24" x14ac:dyDescent="0.25">
      <c r="A110" s="589"/>
    </row>
    <row r="111" spans="1:24" x14ac:dyDescent="0.25">
      <c r="A111" s="589"/>
    </row>
    <row r="112" spans="1:24" x14ac:dyDescent="0.25">
      <c r="A112" s="589"/>
    </row>
    <row r="113" spans="1:1" x14ac:dyDescent="0.25">
      <c r="A113" s="589"/>
    </row>
    <row r="114" spans="1:1" x14ac:dyDescent="0.25">
      <c r="A114" s="589"/>
    </row>
    <row r="115" spans="1:1" x14ac:dyDescent="0.25">
      <c r="A115" s="589"/>
    </row>
    <row r="116" spans="1:1" x14ac:dyDescent="0.25">
      <c r="A116" s="589"/>
    </row>
    <row r="117" spans="1:1" x14ac:dyDescent="0.25">
      <c r="A117" s="589"/>
    </row>
    <row r="118" spans="1:1" x14ac:dyDescent="0.25">
      <c r="A118" s="589"/>
    </row>
    <row r="119" spans="1:1" x14ac:dyDescent="0.25">
      <c r="A119" s="589"/>
    </row>
    <row r="120" spans="1:1" x14ac:dyDescent="0.25">
      <c r="A120" s="589"/>
    </row>
    <row r="121" spans="1:1" x14ac:dyDescent="0.25">
      <c r="A121" s="589"/>
    </row>
    <row r="122" spans="1:1" x14ac:dyDescent="0.25">
      <c r="A122" s="589"/>
    </row>
    <row r="123" spans="1:1" x14ac:dyDescent="0.25">
      <c r="A123" s="589"/>
    </row>
    <row r="124" spans="1:1" x14ac:dyDescent="0.25">
      <c r="A124" s="589"/>
    </row>
    <row r="125" spans="1:1" x14ac:dyDescent="0.25">
      <c r="A125" s="589"/>
    </row>
    <row r="126" spans="1:1" x14ac:dyDescent="0.25">
      <c r="A126" s="589"/>
    </row>
    <row r="127" spans="1:1" x14ac:dyDescent="0.25">
      <c r="A127" s="589"/>
    </row>
    <row r="128" spans="1:1" x14ac:dyDescent="0.25">
      <c r="A128" s="589"/>
    </row>
    <row r="129" spans="1:1" x14ac:dyDescent="0.25">
      <c r="A129" s="589"/>
    </row>
    <row r="130" spans="1:1" x14ac:dyDescent="0.25">
      <c r="A130" s="589"/>
    </row>
    <row r="131" spans="1:1" x14ac:dyDescent="0.25">
      <c r="A131" s="589"/>
    </row>
    <row r="132" spans="1:1" x14ac:dyDescent="0.25">
      <c r="A132" s="589"/>
    </row>
    <row r="133" spans="1:1" x14ac:dyDescent="0.25">
      <c r="A133" s="589"/>
    </row>
    <row r="134" spans="1:1" x14ac:dyDescent="0.25">
      <c r="A134" s="589"/>
    </row>
    <row r="135" spans="1:1" x14ac:dyDescent="0.25">
      <c r="A135" s="589"/>
    </row>
    <row r="136" spans="1:1" x14ac:dyDescent="0.25">
      <c r="A136" s="589"/>
    </row>
    <row r="137" spans="1:1" x14ac:dyDescent="0.25">
      <c r="A137" s="589"/>
    </row>
    <row r="138" spans="1:1" x14ac:dyDescent="0.25">
      <c r="A138" s="589"/>
    </row>
    <row r="139" spans="1:1" x14ac:dyDescent="0.25">
      <c r="A139" s="589"/>
    </row>
    <row r="140" spans="1:1" x14ac:dyDescent="0.25">
      <c r="A140" s="589"/>
    </row>
    <row r="141" spans="1:1" x14ac:dyDescent="0.25">
      <c r="A141" s="589"/>
    </row>
    <row r="142" spans="1:1" x14ac:dyDescent="0.25">
      <c r="A142" s="589"/>
    </row>
    <row r="143" spans="1:1" x14ac:dyDescent="0.25">
      <c r="A143" s="589"/>
    </row>
    <row r="144" spans="1:1" x14ac:dyDescent="0.25">
      <c r="A144" s="589"/>
    </row>
    <row r="145" spans="1:1" x14ac:dyDescent="0.25">
      <c r="A145" s="589"/>
    </row>
    <row r="146" spans="1:1" x14ac:dyDescent="0.25">
      <c r="A146" s="589"/>
    </row>
    <row r="147" spans="1:1" x14ac:dyDescent="0.25">
      <c r="A147" s="589"/>
    </row>
    <row r="148" spans="1:1" x14ac:dyDescent="0.25">
      <c r="A148" s="589"/>
    </row>
    <row r="149" spans="1:1" x14ac:dyDescent="0.25">
      <c r="A149" s="589"/>
    </row>
    <row r="150" spans="1:1" x14ac:dyDescent="0.25">
      <c r="A150" s="589"/>
    </row>
    <row r="151" spans="1:1" x14ac:dyDescent="0.25">
      <c r="A151" s="589"/>
    </row>
    <row r="152" spans="1:1" x14ac:dyDescent="0.25">
      <c r="A152" s="589"/>
    </row>
    <row r="153" spans="1:1" x14ac:dyDescent="0.25">
      <c r="A153" s="589"/>
    </row>
    <row r="154" spans="1:1" x14ac:dyDescent="0.25">
      <c r="A154" s="589"/>
    </row>
    <row r="155" spans="1:1" x14ac:dyDescent="0.25">
      <c r="A155" s="589"/>
    </row>
    <row r="156" spans="1:1" x14ac:dyDescent="0.25">
      <c r="A156" s="589"/>
    </row>
    <row r="157" spans="1:1" x14ac:dyDescent="0.25">
      <c r="A157" s="589"/>
    </row>
    <row r="158" spans="1:1" x14ac:dyDescent="0.25">
      <c r="A158" s="589"/>
    </row>
    <row r="159" spans="1:1" x14ac:dyDescent="0.25">
      <c r="A159" s="589"/>
    </row>
    <row r="160" spans="1:1" x14ac:dyDescent="0.25">
      <c r="A160" s="589"/>
    </row>
    <row r="161" spans="1:1" x14ac:dyDescent="0.25">
      <c r="A161" s="589"/>
    </row>
    <row r="162" spans="1:1" x14ac:dyDescent="0.25">
      <c r="A162" s="589"/>
    </row>
    <row r="163" spans="1:1" x14ac:dyDescent="0.25">
      <c r="A163" s="589"/>
    </row>
    <row r="164" spans="1:1" x14ac:dyDescent="0.25">
      <c r="A164" s="589"/>
    </row>
    <row r="165" spans="1:1" x14ac:dyDescent="0.25">
      <c r="A165" s="589"/>
    </row>
    <row r="166" spans="1:1" x14ac:dyDescent="0.25">
      <c r="A166" s="589"/>
    </row>
    <row r="167" spans="1:1" x14ac:dyDescent="0.25">
      <c r="A167" s="589"/>
    </row>
    <row r="168" spans="1:1" x14ac:dyDescent="0.25">
      <c r="A168" s="589"/>
    </row>
    <row r="169" spans="1:1" x14ac:dyDescent="0.25">
      <c r="A169" s="589"/>
    </row>
    <row r="170" spans="1:1" x14ac:dyDescent="0.25">
      <c r="A170" s="589"/>
    </row>
    <row r="171" spans="1:1" x14ac:dyDescent="0.25">
      <c r="A171" s="589"/>
    </row>
    <row r="172" spans="1:1" x14ac:dyDescent="0.25">
      <c r="A172" s="589"/>
    </row>
    <row r="173" spans="1:1" x14ac:dyDescent="0.25">
      <c r="A173" s="589"/>
    </row>
    <row r="174" spans="1:1" x14ac:dyDescent="0.25">
      <c r="A174" s="589"/>
    </row>
    <row r="175" spans="1:1" x14ac:dyDescent="0.25">
      <c r="A175" s="589"/>
    </row>
    <row r="176" spans="1:1" x14ac:dyDescent="0.25">
      <c r="A176" s="589"/>
    </row>
    <row r="177" spans="1:1" x14ac:dyDescent="0.25">
      <c r="A177" s="589"/>
    </row>
    <row r="178" spans="1:1" x14ac:dyDescent="0.25">
      <c r="A178" s="589"/>
    </row>
    <row r="179" spans="1:1" x14ac:dyDescent="0.25">
      <c r="A179" s="589"/>
    </row>
    <row r="180" spans="1:1" x14ac:dyDescent="0.25">
      <c r="A180" s="589"/>
    </row>
    <row r="181" spans="1:1" x14ac:dyDescent="0.25">
      <c r="A181" s="589"/>
    </row>
    <row r="182" spans="1:1" x14ac:dyDescent="0.25">
      <c r="A182" s="589"/>
    </row>
    <row r="183" spans="1:1" x14ac:dyDescent="0.25">
      <c r="A183" s="589"/>
    </row>
    <row r="184" spans="1:1" x14ac:dyDescent="0.25">
      <c r="A184" s="589"/>
    </row>
    <row r="185" spans="1:1" x14ac:dyDescent="0.25">
      <c r="A185" s="589"/>
    </row>
    <row r="186" spans="1:1" x14ac:dyDescent="0.25">
      <c r="A186" s="589"/>
    </row>
    <row r="187" spans="1:1" x14ac:dyDescent="0.25">
      <c r="A187" s="589"/>
    </row>
    <row r="188" spans="1:1" x14ac:dyDescent="0.25">
      <c r="A188" s="589"/>
    </row>
    <row r="189" spans="1:1" x14ac:dyDescent="0.25">
      <c r="A189" s="589"/>
    </row>
    <row r="190" spans="1:1" x14ac:dyDescent="0.25">
      <c r="A190" s="589"/>
    </row>
    <row r="191" spans="1:1" x14ac:dyDescent="0.25">
      <c r="A191" s="589"/>
    </row>
    <row r="192" spans="1:1" x14ac:dyDescent="0.25">
      <c r="A192" s="589"/>
    </row>
    <row r="193" spans="1:1" x14ac:dyDescent="0.25">
      <c r="A193" s="589"/>
    </row>
    <row r="194" spans="1:1" x14ac:dyDescent="0.25">
      <c r="A194" s="589"/>
    </row>
    <row r="195" spans="1:1" x14ac:dyDescent="0.25">
      <c r="A195" s="589"/>
    </row>
    <row r="196" spans="1:1" x14ac:dyDescent="0.25">
      <c r="A196" s="589"/>
    </row>
    <row r="197" spans="1:1" x14ac:dyDescent="0.25">
      <c r="A197" s="589"/>
    </row>
    <row r="198" spans="1:1" x14ac:dyDescent="0.25">
      <c r="A198" s="589"/>
    </row>
    <row r="199" spans="1:1" x14ac:dyDescent="0.25">
      <c r="A199" s="589"/>
    </row>
    <row r="200" spans="1:1" x14ac:dyDescent="0.25">
      <c r="A200" s="589"/>
    </row>
    <row r="201" spans="1:1" x14ac:dyDescent="0.25">
      <c r="A201" s="589"/>
    </row>
    <row r="202" spans="1:1" x14ac:dyDescent="0.25">
      <c r="A202" s="589"/>
    </row>
    <row r="203" spans="1:1" x14ac:dyDescent="0.25">
      <c r="A203" s="589"/>
    </row>
    <row r="204" spans="1:1" x14ac:dyDescent="0.25">
      <c r="A204" s="589"/>
    </row>
    <row r="205" spans="1:1" x14ac:dyDescent="0.25">
      <c r="A205" s="589"/>
    </row>
    <row r="206" spans="1:1" x14ac:dyDescent="0.25">
      <c r="A206" s="589"/>
    </row>
    <row r="207" spans="1:1" x14ac:dyDescent="0.25">
      <c r="A207" s="589"/>
    </row>
    <row r="208" spans="1:1" x14ac:dyDescent="0.25">
      <c r="A208" s="589"/>
    </row>
    <row r="209" spans="1:1" x14ac:dyDescent="0.25">
      <c r="A209" s="589"/>
    </row>
    <row r="210" spans="1:1" x14ac:dyDescent="0.25">
      <c r="A210" s="589"/>
    </row>
    <row r="211" spans="1:1" x14ac:dyDescent="0.25">
      <c r="A211" s="589"/>
    </row>
    <row r="212" spans="1:1" x14ac:dyDescent="0.25">
      <c r="A212" s="589"/>
    </row>
    <row r="213" spans="1:1" x14ac:dyDescent="0.25">
      <c r="A213" s="589"/>
    </row>
    <row r="214" spans="1:1" x14ac:dyDescent="0.25">
      <c r="A214" s="589"/>
    </row>
    <row r="215" spans="1:1" x14ac:dyDescent="0.25">
      <c r="A215" s="589"/>
    </row>
    <row r="216" spans="1:1" x14ac:dyDescent="0.25">
      <c r="A216" s="589"/>
    </row>
    <row r="217" spans="1:1" x14ac:dyDescent="0.25">
      <c r="A217" s="589"/>
    </row>
    <row r="218" spans="1:1" x14ac:dyDescent="0.25">
      <c r="A218" s="589"/>
    </row>
    <row r="219" spans="1:1" x14ac:dyDescent="0.25">
      <c r="A219" s="589"/>
    </row>
    <row r="220" spans="1:1" x14ac:dyDescent="0.25">
      <c r="A220" s="589"/>
    </row>
    <row r="221" spans="1:1" x14ac:dyDescent="0.25">
      <c r="A221" s="589"/>
    </row>
    <row r="222" spans="1:1" x14ac:dyDescent="0.25">
      <c r="A222" s="589"/>
    </row>
    <row r="223" spans="1:1" x14ac:dyDescent="0.25">
      <c r="A223" s="589"/>
    </row>
    <row r="224" spans="1:1" x14ac:dyDescent="0.25">
      <c r="A224" s="589"/>
    </row>
    <row r="225" spans="1:1" x14ac:dyDescent="0.25">
      <c r="A225" s="589"/>
    </row>
    <row r="226" spans="1:1" x14ac:dyDescent="0.25">
      <c r="A226" s="589"/>
    </row>
    <row r="227" spans="1:1" x14ac:dyDescent="0.25">
      <c r="A227" s="589"/>
    </row>
    <row r="228" spans="1:1" x14ac:dyDescent="0.25">
      <c r="A228" s="589"/>
    </row>
    <row r="229" spans="1:1" x14ac:dyDescent="0.25">
      <c r="A229" s="589"/>
    </row>
    <row r="230" spans="1:1" x14ac:dyDescent="0.25">
      <c r="A230" s="589"/>
    </row>
    <row r="231" spans="1:1" x14ac:dyDescent="0.25">
      <c r="A231" s="589"/>
    </row>
    <row r="232" spans="1:1" x14ac:dyDescent="0.25">
      <c r="A232" s="589"/>
    </row>
    <row r="233" spans="1:1" x14ac:dyDescent="0.25">
      <c r="A233" s="589"/>
    </row>
    <row r="234" spans="1:1" x14ac:dyDescent="0.25">
      <c r="A234" s="589"/>
    </row>
    <row r="235" spans="1:1" x14ac:dyDescent="0.25">
      <c r="A235" s="589"/>
    </row>
    <row r="236" spans="1:1" x14ac:dyDescent="0.25">
      <c r="A236" s="589"/>
    </row>
    <row r="237" spans="1:1" x14ac:dyDescent="0.25">
      <c r="A237" s="589"/>
    </row>
    <row r="238" spans="1:1" x14ac:dyDescent="0.25">
      <c r="A238" s="589"/>
    </row>
    <row r="239" spans="1:1" x14ac:dyDescent="0.25">
      <c r="A239" s="589"/>
    </row>
    <row r="240" spans="1:1" x14ac:dyDescent="0.25">
      <c r="A240" s="589"/>
    </row>
    <row r="241" spans="1:1" x14ac:dyDescent="0.25">
      <c r="A241" s="589"/>
    </row>
    <row r="242" spans="1:1" x14ac:dyDescent="0.25">
      <c r="A242" s="589"/>
    </row>
    <row r="243" spans="1:1" x14ac:dyDescent="0.25">
      <c r="A243" s="589"/>
    </row>
    <row r="244" spans="1:1" x14ac:dyDescent="0.25">
      <c r="A244" s="589"/>
    </row>
    <row r="245" spans="1:1" x14ac:dyDescent="0.25">
      <c r="A245" s="589"/>
    </row>
    <row r="246" spans="1:1" x14ac:dyDescent="0.25">
      <c r="A246" s="589"/>
    </row>
    <row r="247" spans="1:1" x14ac:dyDescent="0.25">
      <c r="A247" s="589"/>
    </row>
    <row r="248" spans="1:1" x14ac:dyDescent="0.25">
      <c r="A248" s="589"/>
    </row>
    <row r="249" spans="1:1" x14ac:dyDescent="0.25">
      <c r="A249" s="589"/>
    </row>
    <row r="250" spans="1:1" x14ac:dyDescent="0.25">
      <c r="A250" s="589"/>
    </row>
    <row r="251" spans="1:1" x14ac:dyDescent="0.25">
      <c r="A251" s="589"/>
    </row>
    <row r="252" spans="1:1" x14ac:dyDescent="0.25">
      <c r="A252" s="589"/>
    </row>
    <row r="253" spans="1:1" x14ac:dyDescent="0.25">
      <c r="A253" s="589"/>
    </row>
    <row r="254" spans="1:1" x14ac:dyDescent="0.25">
      <c r="A254" s="589"/>
    </row>
    <row r="255" spans="1:1" x14ac:dyDescent="0.25">
      <c r="A255" s="589"/>
    </row>
    <row r="256" spans="1:1" x14ac:dyDescent="0.25">
      <c r="A256" s="589"/>
    </row>
    <row r="257" spans="1:1" x14ac:dyDescent="0.25">
      <c r="A257" s="589"/>
    </row>
    <row r="258" spans="1:1" x14ac:dyDescent="0.25">
      <c r="A258" s="589"/>
    </row>
    <row r="259" spans="1:1" x14ac:dyDescent="0.25">
      <c r="A259" s="589"/>
    </row>
    <row r="260" spans="1:1" x14ac:dyDescent="0.25">
      <c r="A260" s="589"/>
    </row>
    <row r="261" spans="1:1" x14ac:dyDescent="0.25">
      <c r="A261" s="589"/>
    </row>
    <row r="262" spans="1:1" x14ac:dyDescent="0.25">
      <c r="A262" s="589"/>
    </row>
    <row r="263" spans="1:1" x14ac:dyDescent="0.25">
      <c r="A263" s="589"/>
    </row>
    <row r="264" spans="1:1" x14ac:dyDescent="0.25">
      <c r="A264" s="589"/>
    </row>
    <row r="265" spans="1:1" x14ac:dyDescent="0.25">
      <c r="A265" s="589"/>
    </row>
    <row r="266" spans="1:1" x14ac:dyDescent="0.25">
      <c r="A266" s="589"/>
    </row>
    <row r="267" spans="1:1" x14ac:dyDescent="0.25">
      <c r="A267" s="589"/>
    </row>
    <row r="268" spans="1:1" x14ac:dyDescent="0.25">
      <c r="A268" s="589"/>
    </row>
    <row r="269" spans="1:1" x14ac:dyDescent="0.25">
      <c r="A269" s="589"/>
    </row>
    <row r="270" spans="1:1" x14ac:dyDescent="0.25">
      <c r="A270" s="589"/>
    </row>
    <row r="271" spans="1:1" x14ac:dyDescent="0.25">
      <c r="A271" s="589"/>
    </row>
    <row r="272" spans="1:1" x14ac:dyDescent="0.25">
      <c r="A272" s="589"/>
    </row>
    <row r="273" spans="1:1" x14ac:dyDescent="0.25">
      <c r="A273" s="589"/>
    </row>
    <row r="274" spans="1:1" x14ac:dyDescent="0.25">
      <c r="A274" s="589"/>
    </row>
    <row r="275" spans="1:1" x14ac:dyDescent="0.25">
      <c r="A275" s="589"/>
    </row>
    <row r="276" spans="1:1" x14ac:dyDescent="0.25">
      <c r="A276" s="589"/>
    </row>
    <row r="277" spans="1:1" x14ac:dyDescent="0.25">
      <c r="A277" s="589"/>
    </row>
    <row r="278" spans="1:1" x14ac:dyDescent="0.25">
      <c r="A278" s="589"/>
    </row>
    <row r="279" spans="1:1" x14ac:dyDescent="0.25">
      <c r="A279" s="589"/>
    </row>
    <row r="280" spans="1:1" x14ac:dyDescent="0.25">
      <c r="A280" s="589"/>
    </row>
    <row r="281" spans="1:1" x14ac:dyDescent="0.25">
      <c r="A281" s="589"/>
    </row>
    <row r="282" spans="1:1" x14ac:dyDescent="0.25">
      <c r="A282" s="589"/>
    </row>
    <row r="283" spans="1:1" x14ac:dyDescent="0.25">
      <c r="A283" s="589"/>
    </row>
    <row r="284" spans="1:1" x14ac:dyDescent="0.25">
      <c r="A284" s="589"/>
    </row>
    <row r="285" spans="1:1" x14ac:dyDescent="0.25">
      <c r="A285" s="589"/>
    </row>
    <row r="286" spans="1:1" x14ac:dyDescent="0.25">
      <c r="A286" s="589"/>
    </row>
    <row r="287" spans="1:1" x14ac:dyDescent="0.25">
      <c r="A287" s="589"/>
    </row>
    <row r="288" spans="1:1" x14ac:dyDescent="0.25">
      <c r="A288" s="589"/>
    </row>
    <row r="289" spans="1:1" x14ac:dyDescent="0.25">
      <c r="A289" s="589"/>
    </row>
    <row r="290" spans="1:1" x14ac:dyDescent="0.25">
      <c r="A290" s="589"/>
    </row>
    <row r="291" spans="1:1" x14ac:dyDescent="0.25">
      <c r="A291" s="589"/>
    </row>
    <row r="292" spans="1:1" x14ac:dyDescent="0.25">
      <c r="A292" s="589"/>
    </row>
    <row r="293" spans="1:1" x14ac:dyDescent="0.25">
      <c r="A293" s="589"/>
    </row>
    <row r="294" spans="1:1" x14ac:dyDescent="0.25">
      <c r="A294" s="589"/>
    </row>
    <row r="295" spans="1:1" x14ac:dyDescent="0.25">
      <c r="A295" s="589"/>
    </row>
    <row r="296" spans="1:1" x14ac:dyDescent="0.25">
      <c r="A296" s="589"/>
    </row>
    <row r="297" spans="1:1" x14ac:dyDescent="0.25">
      <c r="A297" s="589"/>
    </row>
    <row r="298" spans="1:1" x14ac:dyDescent="0.25">
      <c r="A298" s="589"/>
    </row>
    <row r="299" spans="1:1" x14ac:dyDescent="0.25">
      <c r="A299" s="589"/>
    </row>
    <row r="300" spans="1:1" x14ac:dyDescent="0.25">
      <c r="A300" s="589"/>
    </row>
    <row r="301" spans="1:1" x14ac:dyDescent="0.25">
      <c r="A301" s="589"/>
    </row>
    <row r="302" spans="1:1" x14ac:dyDescent="0.25">
      <c r="A302" s="589"/>
    </row>
    <row r="303" spans="1:1" x14ac:dyDescent="0.25">
      <c r="A303" s="589"/>
    </row>
    <row r="304" spans="1:1" x14ac:dyDescent="0.25">
      <c r="A304" s="589"/>
    </row>
    <row r="305" spans="1:1" x14ac:dyDescent="0.25">
      <c r="A305" s="589"/>
    </row>
    <row r="306" spans="1:1" x14ac:dyDescent="0.25">
      <c r="A306" s="589"/>
    </row>
    <row r="307" spans="1:1" x14ac:dyDescent="0.25">
      <c r="A307" s="589"/>
    </row>
    <row r="308" spans="1:1" x14ac:dyDescent="0.25">
      <c r="A308" s="589"/>
    </row>
    <row r="309" spans="1:1" x14ac:dyDescent="0.25">
      <c r="A309" s="589"/>
    </row>
    <row r="310" spans="1:1" x14ac:dyDescent="0.25">
      <c r="A310" s="589"/>
    </row>
    <row r="311" spans="1:1" x14ac:dyDescent="0.25">
      <c r="A311" s="589"/>
    </row>
    <row r="312" spans="1:1" x14ac:dyDescent="0.25">
      <c r="A312" s="589"/>
    </row>
    <row r="313" spans="1:1" x14ac:dyDescent="0.25">
      <c r="A313" s="589"/>
    </row>
    <row r="314" spans="1:1" x14ac:dyDescent="0.25">
      <c r="A314" s="589"/>
    </row>
    <row r="315" spans="1:1" x14ac:dyDescent="0.25">
      <c r="A315" s="589"/>
    </row>
    <row r="316" spans="1:1" x14ac:dyDescent="0.25">
      <c r="A316" s="589"/>
    </row>
    <row r="317" spans="1:1" x14ac:dyDescent="0.25">
      <c r="A317" s="589"/>
    </row>
    <row r="318" spans="1:1" x14ac:dyDescent="0.25">
      <c r="A318" s="589"/>
    </row>
    <row r="319" spans="1:1" x14ac:dyDescent="0.25">
      <c r="A319" s="589"/>
    </row>
    <row r="320" spans="1:1" x14ac:dyDescent="0.25">
      <c r="A320" s="589"/>
    </row>
    <row r="321" spans="1:1" x14ac:dyDescent="0.25">
      <c r="A321" s="589"/>
    </row>
    <row r="322" spans="1:1" x14ac:dyDescent="0.25">
      <c r="A322" s="589"/>
    </row>
    <row r="323" spans="1:1" x14ac:dyDescent="0.25">
      <c r="A323" s="589"/>
    </row>
    <row r="324" spans="1:1" x14ac:dyDescent="0.25">
      <c r="A324" s="589"/>
    </row>
    <row r="325" spans="1:1" x14ac:dyDescent="0.25">
      <c r="A325" s="589"/>
    </row>
    <row r="326" spans="1:1" x14ac:dyDescent="0.25">
      <c r="A326" s="589"/>
    </row>
    <row r="327" spans="1:1" x14ac:dyDescent="0.25">
      <c r="A327" s="589"/>
    </row>
    <row r="328" spans="1:1" x14ac:dyDescent="0.25">
      <c r="A328" s="589"/>
    </row>
    <row r="329" spans="1:1" x14ac:dyDescent="0.25">
      <c r="A329" s="589"/>
    </row>
    <row r="330" spans="1:1" x14ac:dyDescent="0.25">
      <c r="A330" s="589"/>
    </row>
    <row r="331" spans="1:1" x14ac:dyDescent="0.25">
      <c r="A331" s="589"/>
    </row>
    <row r="332" spans="1:1" x14ac:dyDescent="0.25">
      <c r="A332" s="589"/>
    </row>
    <row r="333" spans="1:1" x14ac:dyDescent="0.25">
      <c r="A333" s="589"/>
    </row>
    <row r="334" spans="1:1" x14ac:dyDescent="0.25">
      <c r="A334" s="589"/>
    </row>
    <row r="335" spans="1:1" x14ac:dyDescent="0.25">
      <c r="A335" s="589"/>
    </row>
    <row r="336" spans="1:1" x14ac:dyDescent="0.25">
      <c r="A336" s="589"/>
    </row>
    <row r="337" spans="1:1" x14ac:dyDescent="0.25">
      <c r="A337" s="589"/>
    </row>
    <row r="338" spans="1:1" x14ac:dyDescent="0.25">
      <c r="A338" s="589"/>
    </row>
    <row r="339" spans="1:1" x14ac:dyDescent="0.25">
      <c r="A339" s="589"/>
    </row>
    <row r="340" spans="1:1" x14ac:dyDescent="0.25">
      <c r="A340" s="589"/>
    </row>
    <row r="341" spans="1:1" x14ac:dyDescent="0.25">
      <c r="A341" s="589"/>
    </row>
    <row r="342" spans="1:1" x14ac:dyDescent="0.25">
      <c r="A342" s="589"/>
    </row>
    <row r="343" spans="1:1" x14ac:dyDescent="0.25">
      <c r="A343" s="589"/>
    </row>
    <row r="344" spans="1:1" x14ac:dyDescent="0.25">
      <c r="A344" s="589"/>
    </row>
    <row r="345" spans="1:1" x14ac:dyDescent="0.25">
      <c r="A345" s="589"/>
    </row>
    <row r="346" spans="1:1" x14ac:dyDescent="0.25">
      <c r="A346" s="589"/>
    </row>
    <row r="347" spans="1:1" x14ac:dyDescent="0.25">
      <c r="A347" s="589"/>
    </row>
    <row r="348" spans="1:1" x14ac:dyDescent="0.25">
      <c r="A348" s="589"/>
    </row>
    <row r="349" spans="1:1" x14ac:dyDescent="0.25">
      <c r="A349" s="589"/>
    </row>
    <row r="350" spans="1:1" x14ac:dyDescent="0.25">
      <c r="A350" s="589"/>
    </row>
    <row r="351" spans="1:1" x14ac:dyDescent="0.25">
      <c r="A351" s="589"/>
    </row>
    <row r="352" spans="1:1" x14ac:dyDescent="0.25">
      <c r="A352" s="589"/>
    </row>
    <row r="353" spans="1:1" x14ac:dyDescent="0.25">
      <c r="A353" s="589"/>
    </row>
    <row r="354" spans="1:1" x14ac:dyDescent="0.25">
      <c r="A354" s="589"/>
    </row>
    <row r="355" spans="1:1" x14ac:dyDescent="0.25">
      <c r="A355" s="589"/>
    </row>
    <row r="356" spans="1:1" x14ac:dyDescent="0.25">
      <c r="A356" s="589"/>
    </row>
    <row r="357" spans="1:1" x14ac:dyDescent="0.25">
      <c r="A357" s="589"/>
    </row>
    <row r="358" spans="1:1" x14ac:dyDescent="0.25">
      <c r="A358" s="589"/>
    </row>
    <row r="359" spans="1:1" x14ac:dyDescent="0.25">
      <c r="A359" s="589"/>
    </row>
    <row r="360" spans="1:1" x14ac:dyDescent="0.25">
      <c r="A360" s="589"/>
    </row>
    <row r="361" spans="1:1" x14ac:dyDescent="0.25">
      <c r="A361" s="589"/>
    </row>
    <row r="362" spans="1:1" x14ac:dyDescent="0.25">
      <c r="A362" s="589"/>
    </row>
    <row r="363" spans="1:1" x14ac:dyDescent="0.25">
      <c r="A363" s="589"/>
    </row>
    <row r="364" spans="1:1" x14ac:dyDescent="0.25">
      <c r="A364" s="589"/>
    </row>
    <row r="365" spans="1:1" x14ac:dyDescent="0.25">
      <c r="A365" s="589"/>
    </row>
    <row r="366" spans="1:1" x14ac:dyDescent="0.25">
      <c r="A366" s="589"/>
    </row>
    <row r="367" spans="1:1" x14ac:dyDescent="0.25">
      <c r="A367" s="589"/>
    </row>
    <row r="368" spans="1:1" x14ac:dyDescent="0.25">
      <c r="A368" s="589"/>
    </row>
    <row r="369" spans="1:1" x14ac:dyDescent="0.25">
      <c r="A369" s="589"/>
    </row>
    <row r="370" spans="1:1" x14ac:dyDescent="0.25">
      <c r="A370" s="589"/>
    </row>
    <row r="371" spans="1:1" x14ac:dyDescent="0.25">
      <c r="A371" s="589"/>
    </row>
    <row r="372" spans="1:1" x14ac:dyDescent="0.25">
      <c r="A372" s="589"/>
    </row>
    <row r="373" spans="1:1" x14ac:dyDescent="0.25">
      <c r="A373" s="589"/>
    </row>
    <row r="374" spans="1:1" x14ac:dyDescent="0.25">
      <c r="A374" s="589"/>
    </row>
    <row r="375" spans="1:1" x14ac:dyDescent="0.25">
      <c r="A375" s="589"/>
    </row>
    <row r="376" spans="1:1" x14ac:dyDescent="0.25">
      <c r="A376" s="589"/>
    </row>
    <row r="377" spans="1:1" x14ac:dyDescent="0.25">
      <c r="A377" s="589"/>
    </row>
    <row r="378" spans="1:1" x14ac:dyDescent="0.25">
      <c r="A378" s="589"/>
    </row>
    <row r="379" spans="1:1" x14ac:dyDescent="0.25">
      <c r="A379" s="589"/>
    </row>
    <row r="380" spans="1:1" x14ac:dyDescent="0.25">
      <c r="A380" s="589"/>
    </row>
    <row r="381" spans="1:1" x14ac:dyDescent="0.25">
      <c r="A381" s="589"/>
    </row>
    <row r="382" spans="1:1" x14ac:dyDescent="0.25">
      <c r="A382" s="589"/>
    </row>
    <row r="383" spans="1:1" x14ac:dyDescent="0.25">
      <c r="A383" s="589"/>
    </row>
    <row r="384" spans="1:1" x14ac:dyDescent="0.25">
      <c r="A384" s="589"/>
    </row>
    <row r="385" spans="1:1" x14ac:dyDescent="0.25">
      <c r="A385" s="589"/>
    </row>
    <row r="386" spans="1:1" x14ac:dyDescent="0.25">
      <c r="A386" s="589"/>
    </row>
    <row r="387" spans="1:1" x14ac:dyDescent="0.25">
      <c r="A387" s="589"/>
    </row>
    <row r="388" spans="1:1" x14ac:dyDescent="0.25">
      <c r="A388" s="589"/>
    </row>
    <row r="389" spans="1:1" x14ac:dyDescent="0.25">
      <c r="A389" s="589"/>
    </row>
    <row r="390" spans="1:1" x14ac:dyDescent="0.25">
      <c r="A390" s="589"/>
    </row>
    <row r="391" spans="1:1" x14ac:dyDescent="0.25">
      <c r="A391" s="589"/>
    </row>
    <row r="392" spans="1:1" x14ac:dyDescent="0.25">
      <c r="A392" s="589"/>
    </row>
    <row r="393" spans="1:1" x14ac:dyDescent="0.25">
      <c r="A393" s="589"/>
    </row>
    <row r="394" spans="1:1" x14ac:dyDescent="0.25">
      <c r="A394" s="589"/>
    </row>
    <row r="395" spans="1:1" x14ac:dyDescent="0.25">
      <c r="A395" s="589"/>
    </row>
    <row r="396" spans="1:1" x14ac:dyDescent="0.25">
      <c r="A396" s="589"/>
    </row>
    <row r="397" spans="1:1" x14ac:dyDescent="0.25">
      <c r="A397" s="589"/>
    </row>
    <row r="398" spans="1:1" x14ac:dyDescent="0.25">
      <c r="A398" s="589"/>
    </row>
    <row r="399" spans="1:1" x14ac:dyDescent="0.25">
      <c r="A399" s="589"/>
    </row>
    <row r="400" spans="1:1" x14ac:dyDescent="0.25">
      <c r="A400" s="589"/>
    </row>
    <row r="401" spans="1:1" x14ac:dyDescent="0.25">
      <c r="A401" s="589"/>
    </row>
    <row r="402" spans="1:1" x14ac:dyDescent="0.25">
      <c r="A402" s="589"/>
    </row>
    <row r="403" spans="1:1" x14ac:dyDescent="0.25">
      <c r="A403" s="589"/>
    </row>
    <row r="404" spans="1:1" x14ac:dyDescent="0.25">
      <c r="A404" s="589"/>
    </row>
    <row r="405" spans="1:1" x14ac:dyDescent="0.25">
      <c r="A405" s="589"/>
    </row>
    <row r="406" spans="1:1" x14ac:dyDescent="0.25">
      <c r="A406" s="589"/>
    </row>
    <row r="407" spans="1:1" x14ac:dyDescent="0.25">
      <c r="A407" s="589"/>
    </row>
    <row r="408" spans="1:1" x14ac:dyDescent="0.25">
      <c r="A408" s="589"/>
    </row>
    <row r="409" spans="1:1" x14ac:dyDescent="0.25">
      <c r="A409" s="589"/>
    </row>
    <row r="410" spans="1:1" x14ac:dyDescent="0.25">
      <c r="A410" s="589"/>
    </row>
    <row r="411" spans="1:1" x14ac:dyDescent="0.25">
      <c r="A411" s="589"/>
    </row>
    <row r="412" spans="1:1" x14ac:dyDescent="0.25">
      <c r="A412" s="589"/>
    </row>
    <row r="413" spans="1:1" x14ac:dyDescent="0.25">
      <c r="A413" s="589"/>
    </row>
    <row r="414" spans="1:1" x14ac:dyDescent="0.25">
      <c r="A414" s="589"/>
    </row>
    <row r="415" spans="1:1" x14ac:dyDescent="0.25">
      <c r="A415" s="589"/>
    </row>
    <row r="416" spans="1:1" x14ac:dyDescent="0.25">
      <c r="A416" s="589"/>
    </row>
    <row r="417" spans="1:1" x14ac:dyDescent="0.25">
      <c r="A417" s="589"/>
    </row>
    <row r="418" spans="1:1" x14ac:dyDescent="0.25">
      <c r="A418" s="589"/>
    </row>
    <row r="419" spans="1:1" x14ac:dyDescent="0.25">
      <c r="A419" s="589"/>
    </row>
    <row r="420" spans="1:1" x14ac:dyDescent="0.25">
      <c r="A420" s="589"/>
    </row>
    <row r="421" spans="1:1" x14ac:dyDescent="0.25">
      <c r="A421" s="589"/>
    </row>
    <row r="422" spans="1:1" x14ac:dyDescent="0.25">
      <c r="A422" s="589"/>
    </row>
    <row r="423" spans="1:1" x14ac:dyDescent="0.25">
      <c r="A423" s="589"/>
    </row>
    <row r="424" spans="1:1" x14ac:dyDescent="0.25">
      <c r="A424" s="589"/>
    </row>
    <row r="425" spans="1:1" x14ac:dyDescent="0.25">
      <c r="A425" s="589"/>
    </row>
    <row r="426" spans="1:1" x14ac:dyDescent="0.25">
      <c r="A426" s="589"/>
    </row>
    <row r="427" spans="1:1" x14ac:dyDescent="0.25">
      <c r="A427" s="589"/>
    </row>
    <row r="428" spans="1:1" x14ac:dyDescent="0.25">
      <c r="A428" s="589"/>
    </row>
    <row r="429" spans="1:1" x14ac:dyDescent="0.25">
      <c r="A429" s="589"/>
    </row>
    <row r="430" spans="1:1" x14ac:dyDescent="0.25">
      <c r="A430" s="589"/>
    </row>
    <row r="431" spans="1:1" x14ac:dyDescent="0.25">
      <c r="A431" s="589"/>
    </row>
    <row r="432" spans="1:1" x14ac:dyDescent="0.25">
      <c r="A432" s="589"/>
    </row>
    <row r="433" spans="1:1" x14ac:dyDescent="0.25">
      <c r="A433" s="589"/>
    </row>
    <row r="434" spans="1:1" x14ac:dyDescent="0.25">
      <c r="A434" s="589"/>
    </row>
    <row r="435" spans="1:1" x14ac:dyDescent="0.25">
      <c r="A435" s="589"/>
    </row>
    <row r="436" spans="1:1" x14ac:dyDescent="0.25">
      <c r="A436" s="589"/>
    </row>
    <row r="437" spans="1:1" x14ac:dyDescent="0.25">
      <c r="A437" s="589"/>
    </row>
    <row r="438" spans="1:1" x14ac:dyDescent="0.25">
      <c r="A438" s="589"/>
    </row>
    <row r="439" spans="1:1" x14ac:dyDescent="0.25">
      <c r="A439" s="589"/>
    </row>
    <row r="440" spans="1:1" x14ac:dyDescent="0.25">
      <c r="A440" s="589"/>
    </row>
    <row r="441" spans="1:1" x14ac:dyDescent="0.25">
      <c r="A441" s="589"/>
    </row>
    <row r="442" spans="1:1" x14ac:dyDescent="0.25">
      <c r="A442" s="589"/>
    </row>
    <row r="443" spans="1:1" x14ac:dyDescent="0.25">
      <c r="A443" s="589"/>
    </row>
    <row r="444" spans="1:1" x14ac:dyDescent="0.25">
      <c r="A444" s="589"/>
    </row>
    <row r="445" spans="1:1" x14ac:dyDescent="0.25">
      <c r="A445" s="589"/>
    </row>
    <row r="446" spans="1:1" x14ac:dyDescent="0.25">
      <c r="A446" s="589"/>
    </row>
    <row r="447" spans="1:1" x14ac:dyDescent="0.25">
      <c r="A447" s="589"/>
    </row>
    <row r="448" spans="1:1" x14ac:dyDescent="0.25">
      <c r="A448" s="589"/>
    </row>
    <row r="449" spans="1:1" x14ac:dyDescent="0.25">
      <c r="A449" s="589"/>
    </row>
    <row r="450" spans="1:1" x14ac:dyDescent="0.25">
      <c r="A450" s="589"/>
    </row>
    <row r="451" spans="1:1" x14ac:dyDescent="0.25">
      <c r="A451" s="589"/>
    </row>
    <row r="452" spans="1:1" x14ac:dyDescent="0.25">
      <c r="A452" s="589"/>
    </row>
    <row r="453" spans="1:1" x14ac:dyDescent="0.25">
      <c r="A453" s="589"/>
    </row>
    <row r="454" spans="1:1" x14ac:dyDescent="0.25">
      <c r="A454" s="589"/>
    </row>
    <row r="455" spans="1:1" x14ac:dyDescent="0.25">
      <c r="A455" s="589"/>
    </row>
    <row r="456" spans="1:1" x14ac:dyDescent="0.25">
      <c r="A456" s="589"/>
    </row>
    <row r="457" spans="1:1" x14ac:dyDescent="0.25">
      <c r="A457" s="589"/>
    </row>
    <row r="458" spans="1:1" x14ac:dyDescent="0.25">
      <c r="A458" s="589"/>
    </row>
    <row r="459" spans="1:1" x14ac:dyDescent="0.25">
      <c r="A459" s="589"/>
    </row>
    <row r="460" spans="1:1" x14ac:dyDescent="0.25">
      <c r="A460" s="589"/>
    </row>
    <row r="461" spans="1:1" x14ac:dyDescent="0.25">
      <c r="A461" s="589"/>
    </row>
    <row r="462" spans="1:1" x14ac:dyDescent="0.25">
      <c r="A462" s="589"/>
    </row>
    <row r="463" spans="1:1" x14ac:dyDescent="0.25">
      <c r="A463" s="589"/>
    </row>
    <row r="464" spans="1:1" x14ac:dyDescent="0.25">
      <c r="A464" s="589"/>
    </row>
    <row r="465" spans="1:1" x14ac:dyDescent="0.25">
      <c r="A465" s="589"/>
    </row>
    <row r="466" spans="1:1" x14ac:dyDescent="0.25">
      <c r="A466" s="589"/>
    </row>
    <row r="467" spans="1:1" x14ac:dyDescent="0.25">
      <c r="A467" s="589"/>
    </row>
    <row r="468" spans="1:1" x14ac:dyDescent="0.25">
      <c r="A468" s="589"/>
    </row>
    <row r="469" spans="1:1" x14ac:dyDescent="0.25">
      <c r="A469" s="589"/>
    </row>
    <row r="470" spans="1:1" x14ac:dyDescent="0.25">
      <c r="A470" s="589"/>
    </row>
    <row r="471" spans="1:1" x14ac:dyDescent="0.25">
      <c r="A471" s="589"/>
    </row>
    <row r="472" spans="1:1" x14ac:dyDescent="0.25">
      <c r="A472" s="589"/>
    </row>
    <row r="473" spans="1:1" x14ac:dyDescent="0.25">
      <c r="A473" s="589"/>
    </row>
    <row r="474" spans="1:1" x14ac:dyDescent="0.25">
      <c r="A474" s="589"/>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51181102362204722" right="0.31496062992125984" top="0.35433070866141736" bottom="0.35433070866141736" header="0" footer="0"/>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topLeftCell="A169" zoomScale="90" zoomScaleNormal="90" workbookViewId="0">
      <selection activeCell="D177" sqref="D177"/>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710937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614</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202" t="s">
        <v>187</v>
      </c>
      <c r="B8" s="1202"/>
      <c r="C8" s="1202"/>
      <c r="D8" s="1202"/>
      <c r="E8" s="1202"/>
      <c r="F8" s="1202"/>
      <c r="G8" s="1202"/>
    </row>
    <row r="9" spans="1:24" x14ac:dyDescent="0.25">
      <c r="A9" s="1202" t="s">
        <v>615</v>
      </c>
      <c r="B9" s="1202"/>
      <c r="C9" s="1202"/>
      <c r="D9" s="1202"/>
      <c r="E9" s="1202"/>
      <c r="F9" s="1202"/>
      <c r="G9" s="1202"/>
    </row>
    <row r="10" spans="1:24" x14ac:dyDescent="0.25">
      <c r="A10" s="413"/>
      <c r="B10" s="414"/>
      <c r="E10" s="415"/>
      <c r="F10" s="416"/>
      <c r="G10" s="341"/>
    </row>
    <row r="11" spans="1:24" s="126" customFormat="1" x14ac:dyDescent="0.25">
      <c r="A11" s="1162" t="s">
        <v>26</v>
      </c>
      <c r="B11" s="1163" t="s">
        <v>188</v>
      </c>
      <c r="C11" s="1203" t="s">
        <v>189</v>
      </c>
      <c r="D11" s="1203"/>
      <c r="E11" s="1163" t="s">
        <v>190</v>
      </c>
      <c r="F11" s="1164" t="s">
        <v>191</v>
      </c>
      <c r="G11" s="1163"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62"/>
      <c r="B12" s="1163"/>
      <c r="C12" s="380" t="s">
        <v>193</v>
      </c>
      <c r="D12" s="380" t="s">
        <v>194</v>
      </c>
      <c r="E12" s="1163"/>
      <c r="F12" s="1164"/>
      <c r="G12" s="1163"/>
      <c r="H12" s="319"/>
      <c r="I12" s="124"/>
      <c r="J12" s="124"/>
      <c r="K12" s="124"/>
      <c r="L12" s="124"/>
      <c r="M12" s="124"/>
      <c r="N12" s="124"/>
      <c r="O12" s="124"/>
      <c r="P12" s="124"/>
      <c r="Q12" s="124"/>
      <c r="R12" s="124"/>
      <c r="S12" s="124"/>
      <c r="T12" s="124"/>
      <c r="U12" s="124"/>
      <c r="V12" s="124"/>
      <c r="W12" s="124"/>
      <c r="X12" s="124"/>
    </row>
    <row r="13" spans="1:24" s="126" customFormat="1" x14ac:dyDescent="0.25">
      <c r="A13" s="690" t="s">
        <v>28</v>
      </c>
      <c r="B13" s="691">
        <v>2</v>
      </c>
      <c r="C13" s="379" t="s">
        <v>103</v>
      </c>
      <c r="D13" s="380">
        <v>4</v>
      </c>
      <c r="E13" s="690" t="s">
        <v>155</v>
      </c>
      <c r="F13" s="692">
        <v>6</v>
      </c>
      <c r="G13" s="690" t="s">
        <v>29</v>
      </c>
      <c r="H13" s="319"/>
      <c r="I13" s="124"/>
      <c r="J13" s="124"/>
      <c r="K13" s="124"/>
      <c r="L13" s="124"/>
      <c r="M13" s="124"/>
      <c r="N13" s="124"/>
      <c r="O13" s="124"/>
      <c r="P13" s="124"/>
      <c r="Q13" s="124"/>
      <c r="R13" s="124"/>
      <c r="S13" s="124"/>
      <c r="T13" s="124"/>
      <c r="U13" s="124"/>
      <c r="V13" s="124"/>
      <c r="W13" s="124"/>
      <c r="X13" s="124"/>
    </row>
    <row r="14" spans="1:24" ht="19.5" customHeight="1" x14ac:dyDescent="0.25">
      <c r="A14" s="190">
        <v>1</v>
      </c>
      <c r="B14" s="1165" t="s">
        <v>48</v>
      </c>
      <c r="C14" s="1165"/>
      <c r="D14" s="1165"/>
      <c r="E14" s="1165"/>
      <c r="F14" s="1165"/>
      <c r="G14" s="1165"/>
    </row>
    <row r="15" spans="1:24" ht="57.75" customHeight="1" x14ac:dyDescent="0.25">
      <c r="A15" s="197" t="s">
        <v>46</v>
      </c>
      <c r="B15" s="1150" t="s">
        <v>195</v>
      </c>
      <c r="C15" s="1151"/>
      <c r="D15" s="1151"/>
      <c r="E15" s="1151"/>
      <c r="F15" s="1151"/>
      <c r="G15" s="1151"/>
    </row>
    <row r="16" spans="1:24" s="341" customFormat="1" ht="47.25" x14ac:dyDescent="0.25">
      <c r="A16" s="554"/>
      <c r="B16" s="763" t="s">
        <v>196</v>
      </c>
      <c r="C16" s="707">
        <f>'звіт ІІІ кв'!E14</f>
        <v>12076.45</v>
      </c>
      <c r="D16" s="707">
        <f>'звіт ІІІ кв'!I14</f>
        <v>6781.08</v>
      </c>
      <c r="E16" s="707">
        <f>D16-C16</f>
        <v>-5295.3700000000008</v>
      </c>
      <c r="F16" s="712">
        <f>D16/C16*100</f>
        <v>56.151269619797205</v>
      </c>
      <c r="G16" s="764" t="s">
        <v>864</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554"/>
      <c r="B17" s="763" t="s">
        <v>865</v>
      </c>
      <c r="C17" s="712">
        <v>24000</v>
      </c>
      <c r="D17" s="712">
        <v>22921</v>
      </c>
      <c r="E17" s="712">
        <f>D17-C17</f>
        <v>-1079</v>
      </c>
      <c r="F17" s="712">
        <f>D17/C17*100</f>
        <v>95.504166666666663</v>
      </c>
      <c r="G17" s="764" t="s">
        <v>825</v>
      </c>
      <c r="H17" s="555">
        <f>D17+D22+D27</f>
        <v>41685</v>
      </c>
      <c r="I17" s="289"/>
      <c r="J17" s="289"/>
      <c r="K17" s="289"/>
      <c r="L17" s="289"/>
      <c r="M17" s="289"/>
      <c r="N17" s="289"/>
      <c r="O17" s="289"/>
      <c r="P17" s="289"/>
      <c r="Q17" s="289"/>
      <c r="R17" s="289"/>
      <c r="S17" s="289"/>
      <c r="T17" s="289"/>
      <c r="U17" s="289"/>
      <c r="V17" s="289"/>
      <c r="W17" s="289"/>
      <c r="X17" s="289"/>
    </row>
    <row r="18" spans="1:24" s="341" customFormat="1" ht="47.25" x14ac:dyDescent="0.25">
      <c r="A18" s="554"/>
      <c r="B18" s="763" t="s">
        <v>866</v>
      </c>
      <c r="C18" s="705">
        <f>C16/C17</f>
        <v>0.50318541666666672</v>
      </c>
      <c r="D18" s="705">
        <f>D16/D17</f>
        <v>0.29584573098904932</v>
      </c>
      <c r="E18" s="765">
        <f>D18-C18</f>
        <v>-0.2073396856776174</v>
      </c>
      <c r="F18" s="712">
        <f>D18/C18*100</f>
        <v>58.794575754772161</v>
      </c>
      <c r="G18" s="764" t="s">
        <v>825</v>
      </c>
      <c r="H18" s="340"/>
      <c r="I18" s="289"/>
      <c r="J18" s="289"/>
      <c r="K18" s="289"/>
      <c r="L18" s="289"/>
      <c r="M18" s="289"/>
      <c r="N18" s="289"/>
      <c r="O18" s="289"/>
      <c r="P18" s="289"/>
      <c r="Q18" s="289"/>
      <c r="R18" s="289"/>
      <c r="S18" s="289"/>
      <c r="T18" s="289"/>
      <c r="U18" s="289"/>
      <c r="V18" s="289"/>
      <c r="W18" s="289"/>
      <c r="X18" s="289"/>
    </row>
    <row r="19" spans="1:24" s="341" customFormat="1" ht="63" x14ac:dyDescent="0.25">
      <c r="A19" s="554"/>
      <c r="B19" s="763" t="s">
        <v>867</v>
      </c>
      <c r="C19" s="765">
        <v>69.364161849710982</v>
      </c>
      <c r="D19" s="765">
        <f>D17/34600*100</f>
        <v>66.24566473988439</v>
      </c>
      <c r="E19" s="765">
        <f>D19-C19</f>
        <v>-3.1184971098265919</v>
      </c>
      <c r="F19" s="766">
        <f>D19/C19*100</f>
        <v>95.504166666666663</v>
      </c>
      <c r="G19" s="764" t="s">
        <v>825</v>
      </c>
      <c r="H19" s="340"/>
      <c r="I19" s="289"/>
      <c r="J19" s="289"/>
      <c r="K19" s="289"/>
      <c r="L19" s="289"/>
      <c r="M19" s="289"/>
      <c r="N19" s="289"/>
      <c r="O19" s="289"/>
      <c r="P19" s="289"/>
      <c r="Q19" s="289"/>
      <c r="R19" s="289"/>
      <c r="S19" s="289"/>
      <c r="T19" s="289"/>
      <c r="U19" s="289"/>
      <c r="V19" s="289"/>
      <c r="W19" s="289"/>
      <c r="X19" s="289"/>
    </row>
    <row r="20" spans="1:24" s="341" customFormat="1" x14ac:dyDescent="0.25">
      <c r="A20" s="344"/>
      <c r="B20" s="1196" t="s">
        <v>200</v>
      </c>
      <c r="C20" s="1197"/>
      <c r="D20" s="1197"/>
      <c r="E20" s="1197"/>
      <c r="F20" s="1197"/>
      <c r="G20" s="1197"/>
      <c r="H20" s="340"/>
      <c r="I20" s="289"/>
      <c r="J20" s="289"/>
      <c r="K20" s="289"/>
      <c r="L20" s="289"/>
      <c r="M20" s="289"/>
      <c r="N20" s="289"/>
      <c r="O20" s="289"/>
      <c r="P20" s="289"/>
      <c r="Q20" s="289"/>
      <c r="R20" s="289"/>
      <c r="S20" s="289"/>
      <c r="T20" s="289"/>
      <c r="U20" s="289"/>
      <c r="V20" s="289"/>
      <c r="W20" s="289"/>
      <c r="X20" s="289"/>
    </row>
    <row r="21" spans="1:24" s="341" customFormat="1" ht="63" x14ac:dyDescent="0.25">
      <c r="A21" s="344"/>
      <c r="B21" s="767" t="s">
        <v>196</v>
      </c>
      <c r="C21" s="707">
        <f>'звіт ІІІ кв'!H15</f>
        <v>6662.29</v>
      </c>
      <c r="D21" s="707">
        <f>'звіт ІІІ кв'!I15</f>
        <v>8002.76</v>
      </c>
      <c r="E21" s="707">
        <f>D21-C21</f>
        <v>1340.4700000000003</v>
      </c>
      <c r="F21" s="712">
        <f>D21/C21*100</f>
        <v>120.12025895000068</v>
      </c>
      <c r="G21" s="764" t="s">
        <v>868</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344"/>
      <c r="B22" s="767" t="s">
        <v>869</v>
      </c>
      <c r="C22" s="712">
        <v>17700</v>
      </c>
      <c r="D22" s="712">
        <v>12949</v>
      </c>
      <c r="E22" s="712">
        <f>D22-C22</f>
        <v>-4751</v>
      </c>
      <c r="F22" s="712">
        <f>D22/C22*100</f>
        <v>73.158192090395474</v>
      </c>
      <c r="G22" s="764" t="s">
        <v>825</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344"/>
      <c r="B23" s="767" t="s">
        <v>870</v>
      </c>
      <c r="C23" s="765">
        <f>C21/C22</f>
        <v>0.37640056497175139</v>
      </c>
      <c r="D23" s="765">
        <f>D21/D22</f>
        <v>0.61802146883929265</v>
      </c>
      <c r="E23" s="768">
        <f>D23-C23</f>
        <v>0.24162090386754126</v>
      </c>
      <c r="F23" s="712">
        <f>D23/C23*100</f>
        <v>164.19249234805869</v>
      </c>
      <c r="G23" s="764" t="s">
        <v>825</v>
      </c>
      <c r="H23" s="340"/>
      <c r="I23" s="289"/>
      <c r="J23" s="289"/>
      <c r="K23" s="289"/>
      <c r="L23" s="289"/>
      <c r="M23" s="289"/>
      <c r="N23" s="289"/>
      <c r="O23" s="289"/>
      <c r="P23" s="289"/>
      <c r="Q23" s="289"/>
      <c r="R23" s="289"/>
      <c r="S23" s="289"/>
      <c r="T23" s="289"/>
      <c r="U23" s="289"/>
      <c r="V23" s="289"/>
      <c r="W23" s="289"/>
      <c r="X23" s="289"/>
    </row>
    <row r="24" spans="1:24" s="341" customFormat="1" ht="63" x14ac:dyDescent="0.25">
      <c r="A24" s="344"/>
      <c r="B24" s="767" t="s">
        <v>871</v>
      </c>
      <c r="C24" s="705">
        <v>53.153153153153156</v>
      </c>
      <c r="D24" s="765">
        <f>D22/33300*100</f>
        <v>38.885885885885884</v>
      </c>
      <c r="E24" s="765">
        <f>D24-C24</f>
        <v>-14.267267267267272</v>
      </c>
      <c r="F24" s="712">
        <f>D24/C24*100</f>
        <v>73.158192090395474</v>
      </c>
      <c r="G24" s="764" t="s">
        <v>825</v>
      </c>
      <c r="H24" s="340"/>
      <c r="I24" s="289"/>
      <c r="J24" s="289"/>
      <c r="K24" s="289"/>
      <c r="L24" s="289"/>
      <c r="M24" s="289"/>
      <c r="N24" s="289"/>
      <c r="O24" s="289"/>
      <c r="P24" s="289"/>
      <c r="Q24" s="289"/>
      <c r="R24" s="289"/>
      <c r="S24" s="289"/>
      <c r="T24" s="289"/>
      <c r="U24" s="289"/>
      <c r="V24" s="289"/>
      <c r="W24" s="289"/>
      <c r="X24" s="289"/>
    </row>
    <row r="25" spans="1:24" s="341" customFormat="1" x14ac:dyDescent="0.25">
      <c r="A25" s="344"/>
      <c r="B25" s="1187" t="s">
        <v>52</v>
      </c>
      <c r="C25" s="1187"/>
      <c r="D25" s="1187"/>
      <c r="E25" s="1187"/>
      <c r="F25" s="1187"/>
      <c r="G25" s="1188"/>
      <c r="H25" s="340"/>
      <c r="I25" s="289"/>
      <c r="J25" s="289"/>
      <c r="K25" s="289"/>
      <c r="L25" s="289"/>
      <c r="M25" s="289"/>
      <c r="N25" s="289"/>
      <c r="O25" s="289"/>
      <c r="P25" s="289"/>
      <c r="Q25" s="289"/>
      <c r="R25" s="289"/>
      <c r="S25" s="289"/>
      <c r="T25" s="289"/>
      <c r="U25" s="289"/>
      <c r="V25" s="289"/>
      <c r="W25" s="289"/>
      <c r="X25" s="289"/>
    </row>
    <row r="26" spans="1:24" s="341" customFormat="1" ht="31.5" x14ac:dyDescent="0.25">
      <c r="A26" s="344"/>
      <c r="B26" s="767" t="s">
        <v>196</v>
      </c>
      <c r="C26" s="707">
        <f>'звіт ІІІ кв'!E16</f>
        <v>4269.24</v>
      </c>
      <c r="D26" s="707">
        <f>'звіт ІІІ кв'!I16</f>
        <v>2353.86</v>
      </c>
      <c r="E26" s="707">
        <f>D26-C26</f>
        <v>-1915.3799999999997</v>
      </c>
      <c r="F26" s="712">
        <f>D26/C26*100</f>
        <v>55.135340247912978</v>
      </c>
      <c r="G26" s="764" t="s">
        <v>872</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344"/>
      <c r="B27" s="767" t="s">
        <v>204</v>
      </c>
      <c r="C27" s="712">
        <v>6500</v>
      </c>
      <c r="D27" s="712">
        <v>5815</v>
      </c>
      <c r="E27" s="712">
        <f>D27-C27</f>
        <v>-685</v>
      </c>
      <c r="F27" s="712">
        <f>D27/C27*100</f>
        <v>89.461538461538453</v>
      </c>
      <c r="G27" s="764" t="s">
        <v>825</v>
      </c>
      <c r="H27" s="340"/>
      <c r="I27" s="289"/>
      <c r="J27" s="289"/>
      <c r="K27" s="289"/>
      <c r="L27" s="289"/>
      <c r="M27" s="289"/>
      <c r="N27" s="289"/>
      <c r="O27" s="289"/>
      <c r="P27" s="289"/>
      <c r="Q27" s="289"/>
      <c r="R27" s="289"/>
      <c r="S27" s="289"/>
      <c r="T27" s="289"/>
      <c r="U27" s="289"/>
      <c r="V27" s="289"/>
      <c r="W27" s="289"/>
      <c r="X27" s="289"/>
    </row>
    <row r="28" spans="1:24" s="341" customFormat="1" ht="47.25" x14ac:dyDescent="0.25">
      <c r="A28" s="344"/>
      <c r="B28" s="767" t="s">
        <v>205</v>
      </c>
      <c r="C28" s="765">
        <f>C26/C27</f>
        <v>0.65680615384615382</v>
      </c>
      <c r="D28" s="765">
        <f>D26/D27</f>
        <v>0.4047910576096303</v>
      </c>
      <c r="E28" s="765">
        <f>D28-C28</f>
        <v>-0.25201509623652352</v>
      </c>
      <c r="F28" s="712">
        <f>D28/C28*100</f>
        <v>61.630216958114261</v>
      </c>
      <c r="G28" s="764" t="s">
        <v>825</v>
      </c>
      <c r="H28" s="340"/>
      <c r="I28" s="289"/>
      <c r="J28" s="289"/>
      <c r="K28" s="289"/>
      <c r="L28" s="289"/>
      <c r="M28" s="289"/>
      <c r="N28" s="289"/>
      <c r="O28" s="289"/>
      <c r="P28" s="289"/>
      <c r="Q28" s="289"/>
      <c r="R28" s="289"/>
      <c r="S28" s="289"/>
      <c r="T28" s="289"/>
      <c r="U28" s="289"/>
      <c r="V28" s="289"/>
      <c r="W28" s="289"/>
      <c r="X28" s="289"/>
    </row>
    <row r="29" spans="1:24" s="341" customFormat="1" ht="63" x14ac:dyDescent="0.25">
      <c r="A29" s="359"/>
      <c r="B29" s="767" t="s">
        <v>206</v>
      </c>
      <c r="C29" s="705">
        <v>61.479591836734691</v>
      </c>
      <c r="D29" s="765">
        <f>D27/10500*100</f>
        <v>55.380952380952387</v>
      </c>
      <c r="E29" s="765">
        <f>D29-C29</f>
        <v>-6.0986394557823047</v>
      </c>
      <c r="F29" s="712">
        <f>D29/C29*100</f>
        <v>90.080221300138334</v>
      </c>
      <c r="G29" s="764" t="s">
        <v>825</v>
      </c>
      <c r="H29" s="340"/>
      <c r="I29" s="289"/>
      <c r="J29" s="289"/>
      <c r="K29" s="289"/>
      <c r="L29" s="289"/>
      <c r="M29" s="289"/>
      <c r="N29" s="289"/>
      <c r="O29" s="289"/>
      <c r="P29" s="289"/>
      <c r="Q29" s="289"/>
      <c r="R29" s="289"/>
      <c r="S29" s="289"/>
      <c r="T29" s="289"/>
      <c r="U29" s="289"/>
      <c r="V29" s="289"/>
      <c r="W29" s="289"/>
      <c r="X29" s="289"/>
    </row>
    <row r="30" spans="1:24" s="149" customFormat="1" x14ac:dyDescent="0.25">
      <c r="A30" s="225" t="s">
        <v>247</v>
      </c>
      <c r="B30" s="1193" t="s">
        <v>248</v>
      </c>
      <c r="C30" s="1194"/>
      <c r="D30" s="1187"/>
      <c r="E30" s="1187"/>
      <c r="F30" s="1187"/>
      <c r="G30" s="1188"/>
      <c r="H30" s="319"/>
      <c r="I30" s="124"/>
      <c r="J30" s="124"/>
      <c r="K30" s="124"/>
      <c r="L30" s="124"/>
      <c r="M30" s="124"/>
      <c r="N30" s="124"/>
      <c r="O30" s="124"/>
      <c r="P30" s="124"/>
      <c r="Q30" s="124"/>
      <c r="R30" s="124"/>
      <c r="S30" s="124"/>
      <c r="T30" s="124"/>
      <c r="U30" s="124"/>
      <c r="V30" s="124"/>
      <c r="W30" s="124"/>
      <c r="X30" s="124"/>
    </row>
    <row r="31" spans="1:24" s="341" customFormat="1" ht="65.25" customHeight="1" x14ac:dyDescent="0.25">
      <c r="A31" s="556"/>
      <c r="B31" s="717" t="s">
        <v>517</v>
      </c>
      <c r="C31" s="705">
        <f>'звіт ІІІ кв'!E17</f>
        <v>550</v>
      </c>
      <c r="D31" s="707">
        <f>'звіт ІІІ кв'!I17</f>
        <v>1490.61</v>
      </c>
      <c r="E31" s="769">
        <f>D31-C31</f>
        <v>940.6099999999999</v>
      </c>
      <c r="F31" s="712">
        <f>D31/C31*100</f>
        <v>271.02</v>
      </c>
      <c r="G31" s="443" t="s">
        <v>873</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556"/>
      <c r="B32" s="717" t="s">
        <v>874</v>
      </c>
      <c r="C32" s="705">
        <v>50</v>
      </c>
      <c r="D32" s="765">
        <f>(D17+D22+D27)*100/78400</f>
        <v>53.169642857142854</v>
      </c>
      <c r="E32" s="765">
        <f>D32-C32</f>
        <v>3.1696428571428541</v>
      </c>
      <c r="F32" s="712">
        <f>D32/C32*100</f>
        <v>106.33928571428571</v>
      </c>
      <c r="G32" s="443" t="s">
        <v>826</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224" t="s">
        <v>54</v>
      </c>
      <c r="C33" s="1225"/>
      <c r="D33" s="1226"/>
      <c r="E33" s="1225"/>
      <c r="F33" s="1225"/>
      <c r="G33" s="1227"/>
      <c r="H33" s="340"/>
      <c r="I33" s="289"/>
      <c r="J33" s="289"/>
      <c r="K33" s="289"/>
      <c r="L33" s="289"/>
      <c r="M33" s="289"/>
      <c r="N33" s="289"/>
      <c r="O33" s="289"/>
      <c r="P33" s="289"/>
      <c r="Q33" s="289"/>
      <c r="R33" s="289"/>
      <c r="S33" s="289"/>
      <c r="T33" s="289"/>
      <c r="U33" s="289"/>
      <c r="V33" s="289"/>
      <c r="W33" s="289"/>
      <c r="X33" s="289"/>
    </row>
    <row r="34" spans="1:24" s="341" customFormat="1" ht="173.25" x14ac:dyDescent="0.25">
      <c r="A34" s="556"/>
      <c r="B34" s="717" t="s">
        <v>875</v>
      </c>
      <c r="C34" s="68">
        <v>4</v>
      </c>
      <c r="D34" s="766">
        <v>4</v>
      </c>
      <c r="E34" s="770">
        <f>D34-C34</f>
        <v>0</v>
      </c>
      <c r="F34" s="712">
        <f>D34/C34*100</f>
        <v>100</v>
      </c>
      <c r="G34" s="764" t="s">
        <v>876</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556"/>
      <c r="B35" s="717" t="s">
        <v>877</v>
      </c>
      <c r="C35" s="705">
        <v>61</v>
      </c>
      <c r="D35" s="765">
        <f>(D17+D22+D27)/78400*100</f>
        <v>53.169642857142861</v>
      </c>
      <c r="E35" s="765">
        <f>D35-C35</f>
        <v>-7.8303571428571388</v>
      </c>
      <c r="F35" s="712">
        <f>D35/C35*100</f>
        <v>87.163348946135841</v>
      </c>
      <c r="G35" s="764" t="s">
        <v>824</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93" t="s">
        <v>55</v>
      </c>
      <c r="C36" s="1194"/>
      <c r="D36" s="1194"/>
      <c r="E36" s="1194"/>
      <c r="F36" s="1194"/>
      <c r="G36" s="1195"/>
      <c r="H36" s="340"/>
      <c r="I36" s="289"/>
      <c r="J36" s="289"/>
      <c r="K36" s="289"/>
      <c r="L36" s="289"/>
      <c r="M36" s="289"/>
      <c r="N36" s="289"/>
      <c r="O36" s="289"/>
      <c r="P36" s="289"/>
      <c r="Q36" s="289"/>
      <c r="R36" s="289"/>
      <c r="S36" s="289"/>
      <c r="T36" s="289"/>
      <c r="U36" s="289"/>
      <c r="V36" s="289"/>
      <c r="W36" s="289"/>
      <c r="X36" s="289"/>
    </row>
    <row r="37" spans="1:24" ht="47.25" x14ac:dyDescent="0.25">
      <c r="A37" s="158"/>
      <c r="B37" s="771" t="s">
        <v>196</v>
      </c>
      <c r="C37" s="772">
        <f>'звіт ІІІ кв'!E19</f>
        <v>1150</v>
      </c>
      <c r="D37" s="772">
        <f>'звіт ІІІ кв'!I19</f>
        <v>1263.77</v>
      </c>
      <c r="E37" s="772">
        <f>D37-C37</f>
        <v>113.76999999999998</v>
      </c>
      <c r="F37" s="121">
        <f>D37/C37*100</f>
        <v>109.89304347826088</v>
      </c>
      <c r="G37" s="773" t="s">
        <v>878</v>
      </c>
    </row>
    <row r="38" spans="1:24" ht="50.25" customHeight="1" x14ac:dyDescent="0.25">
      <c r="A38" s="137"/>
      <c r="B38" s="771" t="s">
        <v>207</v>
      </c>
      <c r="C38" s="120">
        <v>3</v>
      </c>
      <c r="D38" s="120">
        <v>2</v>
      </c>
      <c r="E38" s="121">
        <f>D38-C38</f>
        <v>-1</v>
      </c>
      <c r="F38" s="121">
        <f>D38/C38*100</f>
        <v>66.666666666666657</v>
      </c>
      <c r="G38" s="773" t="s">
        <v>823</v>
      </c>
    </row>
    <row r="39" spans="1:24" ht="47.25" x14ac:dyDescent="0.25">
      <c r="A39" s="137"/>
      <c r="B39" s="771" t="s">
        <v>208</v>
      </c>
      <c r="C39" s="772">
        <f>C37/C38</f>
        <v>383.33333333333331</v>
      </c>
      <c r="D39" s="772">
        <f>D37/D38</f>
        <v>631.88499999999999</v>
      </c>
      <c r="E39" s="772">
        <f>D39-C39</f>
        <v>248.55166666666668</v>
      </c>
      <c r="F39" s="121">
        <f>D39/C39*100</f>
        <v>164.83956521739131</v>
      </c>
      <c r="G39" s="773" t="s">
        <v>878</v>
      </c>
    </row>
    <row r="40" spans="1:24" ht="66.75" customHeight="1" x14ac:dyDescent="0.25">
      <c r="A40" s="268"/>
      <c r="B40" s="771" t="s">
        <v>209</v>
      </c>
      <c r="C40" s="757">
        <v>45</v>
      </c>
      <c r="D40" s="772">
        <f>3238/78400*100</f>
        <v>4.1301020408163271</v>
      </c>
      <c r="E40" s="772">
        <f>D40-C40</f>
        <v>-40.869897959183675</v>
      </c>
      <c r="F40" s="121">
        <f>D40/C40*100</f>
        <v>9.1780045351473944</v>
      </c>
      <c r="G40" s="773" t="s">
        <v>846</v>
      </c>
    </row>
    <row r="41" spans="1:24" x14ac:dyDescent="0.25">
      <c r="A41" s="699" t="s">
        <v>256</v>
      </c>
      <c r="B41" s="1136" t="s">
        <v>56</v>
      </c>
      <c r="C41" s="1137"/>
      <c r="D41" s="1137"/>
      <c r="E41" s="1137"/>
      <c r="F41" s="1137"/>
      <c r="G41" s="1138"/>
    </row>
    <row r="42" spans="1:24" ht="94.5" x14ac:dyDescent="0.25">
      <c r="A42" s="158"/>
      <c r="B42" s="774" t="s">
        <v>196</v>
      </c>
      <c r="C42" s="700">
        <f>'звіт ІІІ кв'!E20</f>
        <v>1950.8</v>
      </c>
      <c r="D42" s="700">
        <v>1673.02</v>
      </c>
      <c r="E42" s="775">
        <f>D42-C42</f>
        <v>-277.77999999999997</v>
      </c>
      <c r="F42" s="121">
        <f>D42/C42*100</f>
        <v>85.760713553413979</v>
      </c>
      <c r="G42" s="701" t="s">
        <v>938</v>
      </c>
      <c r="H42" s="558"/>
    </row>
    <row r="43" spans="1:24" ht="47.25" x14ac:dyDescent="0.25">
      <c r="A43" s="137"/>
      <c r="B43" s="774" t="s">
        <v>879</v>
      </c>
      <c r="C43" s="194">
        <v>2430</v>
      </c>
      <c r="D43" s="776">
        <v>100</v>
      </c>
      <c r="E43" s="775">
        <f>D43-C43</f>
        <v>-2330</v>
      </c>
      <c r="F43" s="121">
        <f>D43/C43*100</f>
        <v>4.1152263374485596</v>
      </c>
      <c r="G43" s="701" t="s">
        <v>820</v>
      </c>
      <c r="H43" s="558"/>
    </row>
    <row r="44" spans="1:24" ht="94.5" x14ac:dyDescent="0.25">
      <c r="A44" s="137"/>
      <c r="B44" s="774" t="s">
        <v>880</v>
      </c>
      <c r="C44" s="700">
        <f>C42/C43</f>
        <v>0.80279835390946497</v>
      </c>
      <c r="D44" s="777">
        <f>83.616/D43</f>
        <v>0.83616000000000001</v>
      </c>
      <c r="E44" s="778">
        <f>D44-C44</f>
        <v>3.3361646090535046E-2</v>
      </c>
      <c r="F44" s="121">
        <f>D44/C44*100</f>
        <v>104.15566946893584</v>
      </c>
      <c r="G44" s="701" t="s">
        <v>881</v>
      </c>
      <c r="H44" s="558"/>
    </row>
    <row r="45" spans="1:24" ht="63" x14ac:dyDescent="0.25">
      <c r="A45" s="268"/>
      <c r="B45" s="774" t="s">
        <v>882</v>
      </c>
      <c r="C45" s="700">
        <v>7.3</v>
      </c>
      <c r="D45" s="779">
        <f>D43*100/33300</f>
        <v>0.3003003003003003</v>
      </c>
      <c r="E45" s="778">
        <f>D45-C45</f>
        <v>-6.9996996996996996</v>
      </c>
      <c r="F45" s="121">
        <f>D45/C45*100</f>
        <v>4.1137027438397302</v>
      </c>
      <c r="G45" s="701" t="s">
        <v>820</v>
      </c>
      <c r="H45" s="558"/>
    </row>
    <row r="46" spans="1:24" s="341" customFormat="1" ht="32.25" customHeight="1" x14ac:dyDescent="0.25">
      <c r="A46" s="410" t="s">
        <v>261</v>
      </c>
      <c r="B46" s="1186" t="s">
        <v>57</v>
      </c>
      <c r="C46" s="1187"/>
      <c r="D46" s="1187"/>
      <c r="E46" s="1187"/>
      <c r="F46" s="1187"/>
      <c r="G46" s="1188"/>
      <c r="H46" s="340"/>
      <c r="I46" s="289"/>
      <c r="J46" s="289"/>
      <c r="K46" s="289"/>
      <c r="L46" s="289"/>
      <c r="M46" s="289"/>
      <c r="N46" s="289"/>
      <c r="O46" s="289"/>
      <c r="P46" s="289"/>
      <c r="Q46" s="289"/>
      <c r="R46" s="289"/>
      <c r="S46" s="289"/>
      <c r="T46" s="289"/>
      <c r="U46" s="289"/>
      <c r="V46" s="289"/>
      <c r="W46" s="289"/>
      <c r="X46" s="289"/>
    </row>
    <row r="47" spans="1:24" ht="78.75" x14ac:dyDescent="0.25">
      <c r="A47" s="158"/>
      <c r="B47" s="774" t="s">
        <v>196</v>
      </c>
      <c r="C47" s="700">
        <f>'звіт ІІІ кв'!E21</f>
        <v>635</v>
      </c>
      <c r="D47" s="778">
        <f>'звіт ІІІ кв'!I21</f>
        <v>282.25</v>
      </c>
      <c r="E47" s="775">
        <f>D47-C47</f>
        <v>-352.75</v>
      </c>
      <c r="F47" s="121">
        <f>D47/C47*100</f>
        <v>44.448818897637793</v>
      </c>
      <c r="G47" s="773" t="s">
        <v>757</v>
      </c>
    </row>
    <row r="48" spans="1:24" ht="82.5" customHeight="1" x14ac:dyDescent="0.25">
      <c r="A48" s="137"/>
      <c r="B48" s="774" t="s">
        <v>883</v>
      </c>
      <c r="C48" s="194">
        <v>195</v>
      </c>
      <c r="D48" s="120">
        <v>132</v>
      </c>
      <c r="E48" s="775">
        <f>D48-C48</f>
        <v>-63</v>
      </c>
      <c r="F48" s="121">
        <f>D48/C48*100</f>
        <v>67.692307692307693</v>
      </c>
      <c r="G48" s="773" t="s">
        <v>852</v>
      </c>
      <c r="H48" s="558"/>
    </row>
    <row r="49" spans="1:24" ht="63" x14ac:dyDescent="0.25">
      <c r="A49" s="137"/>
      <c r="B49" s="774" t="s">
        <v>884</v>
      </c>
      <c r="C49" s="700">
        <f>C47/C48</f>
        <v>3.2564102564102564</v>
      </c>
      <c r="D49" s="778">
        <f>D47/D48</f>
        <v>2.1382575757575757</v>
      </c>
      <c r="E49" s="778">
        <f>D49-C49</f>
        <v>-1.1181526806526807</v>
      </c>
      <c r="F49" s="121">
        <f>D49/C49*100</f>
        <v>65.663027916964921</v>
      </c>
      <c r="G49" s="773" t="s">
        <v>723</v>
      </c>
    </row>
    <row r="50" spans="1:24" ht="69" customHeight="1" x14ac:dyDescent="0.25">
      <c r="A50" s="268"/>
      <c r="B50" s="774" t="s">
        <v>885</v>
      </c>
      <c r="C50" s="700">
        <v>65</v>
      </c>
      <c r="D50" s="780">
        <f>D48/122*100</f>
        <v>108.19672131147541</v>
      </c>
      <c r="E50" s="778">
        <f>D50-C50</f>
        <v>43.196721311475414</v>
      </c>
      <c r="F50" s="121">
        <f>D50/C50*100</f>
        <v>166.4564943253468</v>
      </c>
      <c r="G50" s="773" t="s">
        <v>686</v>
      </c>
      <c r="H50" s="558"/>
    </row>
    <row r="51" spans="1:24" s="341" customFormat="1" ht="36.75" customHeight="1" x14ac:dyDescent="0.25">
      <c r="A51" s="137" t="s">
        <v>265</v>
      </c>
      <c r="B51" s="1136" t="s">
        <v>415</v>
      </c>
      <c r="C51" s="1137"/>
      <c r="D51" s="1137"/>
      <c r="E51" s="1137"/>
      <c r="F51" s="1137"/>
      <c r="G51" s="1138"/>
      <c r="H51" s="340"/>
      <c r="I51" s="289"/>
      <c r="J51" s="289"/>
      <c r="K51" s="289"/>
      <c r="L51" s="289"/>
      <c r="M51" s="289"/>
      <c r="N51" s="289"/>
      <c r="O51" s="289"/>
      <c r="P51" s="289"/>
      <c r="Q51" s="289"/>
      <c r="R51" s="289"/>
      <c r="S51" s="289"/>
      <c r="T51" s="289"/>
      <c r="U51" s="289"/>
      <c r="V51" s="289"/>
      <c r="W51" s="289"/>
      <c r="X51" s="289"/>
    </row>
    <row r="52" spans="1:24" ht="110.25" x14ac:dyDescent="0.25">
      <c r="A52" s="158"/>
      <c r="B52" s="774" t="s">
        <v>196</v>
      </c>
      <c r="C52" s="700">
        <f>'звіт ІІІ кв'!G22</f>
        <v>903.2</v>
      </c>
      <c r="D52" s="757">
        <f>'звіт ІІІ кв'!I22</f>
        <v>2477.038</v>
      </c>
      <c r="E52" s="700">
        <f>D52-C52</f>
        <v>1573.838</v>
      </c>
      <c r="F52" s="195">
        <f>D52/C52*100</f>
        <v>274.25132860938885</v>
      </c>
      <c r="G52" s="193" t="s">
        <v>939</v>
      </c>
      <c r="H52" s="562"/>
      <c r="I52" s="265"/>
    </row>
    <row r="53" spans="1:24" ht="47.25" x14ac:dyDescent="0.25">
      <c r="A53" s="137"/>
      <c r="B53" s="553" t="s">
        <v>416</v>
      </c>
      <c r="C53" s="194">
        <v>5</v>
      </c>
      <c r="D53" s="194">
        <v>10</v>
      </c>
      <c r="E53" s="194">
        <f>D53-C53</f>
        <v>5</v>
      </c>
      <c r="F53" s="194">
        <f>D53/C53*100</f>
        <v>200</v>
      </c>
      <c r="G53" s="773" t="s">
        <v>400</v>
      </c>
      <c r="H53" s="562"/>
      <c r="I53" s="265"/>
    </row>
    <row r="54" spans="1:24" ht="31.5" x14ac:dyDescent="0.25">
      <c r="A54" s="137"/>
      <c r="B54" s="553" t="s">
        <v>417</v>
      </c>
      <c r="C54" s="700">
        <f>C52/C53</f>
        <v>180.64000000000001</v>
      </c>
      <c r="D54" s="700">
        <f>D52/D53</f>
        <v>247.7038</v>
      </c>
      <c r="E54" s="700">
        <f>D54-C54</f>
        <v>67.063799999999986</v>
      </c>
      <c r="F54" s="781">
        <f>D54/C54*100</f>
        <v>137.12566430469442</v>
      </c>
      <c r="G54" s="773" t="s">
        <v>714</v>
      </c>
      <c r="H54" s="562"/>
      <c r="I54" s="265"/>
    </row>
    <row r="55" spans="1:24" ht="47.25" x14ac:dyDescent="0.25">
      <c r="A55" s="137"/>
      <c r="B55" s="553" t="s">
        <v>418</v>
      </c>
      <c r="C55" s="194">
        <v>8</v>
      </c>
      <c r="D55" s="194">
        <v>4</v>
      </c>
      <c r="E55" s="194">
        <f>D55-C55</f>
        <v>-4</v>
      </c>
      <c r="F55" s="194">
        <f>D55/C55*100</f>
        <v>50</v>
      </c>
      <c r="G55" s="773" t="s">
        <v>400</v>
      </c>
      <c r="H55" s="562"/>
      <c r="I55" s="265"/>
    </row>
    <row r="56" spans="1:24" s="341" customFormat="1" x14ac:dyDescent="0.25">
      <c r="A56" s="137"/>
      <c r="B56" s="702" t="s">
        <v>419</v>
      </c>
      <c r="C56" s="68"/>
      <c r="D56" s="68"/>
      <c r="E56" s="194"/>
      <c r="F56" s="194"/>
      <c r="G56" s="193"/>
      <c r="H56" s="340"/>
      <c r="I56" s="362"/>
      <c r="J56" s="289"/>
      <c r="K56" s="289"/>
      <c r="L56" s="289"/>
      <c r="M56" s="289"/>
      <c r="N56" s="289"/>
      <c r="O56" s="289"/>
      <c r="P56" s="289"/>
      <c r="Q56" s="289"/>
      <c r="R56" s="289"/>
      <c r="S56" s="289"/>
      <c r="T56" s="289"/>
      <c r="U56" s="289"/>
      <c r="V56" s="289"/>
      <c r="W56" s="289"/>
      <c r="X56" s="289"/>
    </row>
    <row r="57" spans="1:24" s="341" customFormat="1" ht="47.25" x14ac:dyDescent="0.25">
      <c r="A57" s="344"/>
      <c r="B57" s="703" t="s">
        <v>420</v>
      </c>
      <c r="C57" s="105">
        <f>'звіт ІІІ кв'!E26</f>
        <v>2873.79</v>
      </c>
      <c r="D57" s="705">
        <f>'звіт ІІІ кв'!I26</f>
        <v>2284.3779999999997</v>
      </c>
      <c r="E57" s="105">
        <f t="shared" ref="E57:E63" si="0">D57-C57</f>
        <v>-589.41200000000026</v>
      </c>
      <c r="F57" s="706">
        <f t="shared" ref="F57:F63" si="1">D57/C57*100</f>
        <v>79.490081042804093</v>
      </c>
      <c r="G57" s="773" t="s">
        <v>886</v>
      </c>
      <c r="H57" s="340"/>
      <c r="I57" s="362"/>
      <c r="J57" s="289"/>
      <c r="K57" s="289"/>
      <c r="L57" s="289"/>
      <c r="M57" s="289"/>
      <c r="N57" s="289"/>
      <c r="O57" s="289"/>
      <c r="P57" s="289"/>
      <c r="Q57" s="289"/>
      <c r="R57" s="289"/>
      <c r="S57" s="289"/>
      <c r="T57" s="289"/>
      <c r="U57" s="289"/>
      <c r="V57" s="289"/>
      <c r="W57" s="289"/>
      <c r="X57" s="289"/>
    </row>
    <row r="58" spans="1:24" ht="31.5" x14ac:dyDescent="0.25">
      <c r="A58" s="137"/>
      <c r="B58" s="782" t="s">
        <v>421</v>
      </c>
      <c r="C58" s="194">
        <v>1650</v>
      </c>
      <c r="D58" s="194">
        <v>1144</v>
      </c>
      <c r="E58" s="757">
        <f t="shared" si="0"/>
        <v>-506</v>
      </c>
      <c r="F58" s="195">
        <f t="shared" si="1"/>
        <v>69.333333333333343</v>
      </c>
      <c r="G58" s="773" t="s">
        <v>819</v>
      </c>
      <c r="H58" s="558"/>
      <c r="I58" s="265"/>
    </row>
    <row r="59" spans="1:24" ht="31.5" x14ac:dyDescent="0.25">
      <c r="A59" s="137"/>
      <c r="B59" s="782" t="s">
        <v>422</v>
      </c>
      <c r="C59" s="194">
        <v>1400</v>
      </c>
      <c r="D59" s="194">
        <v>663</v>
      </c>
      <c r="E59" s="194">
        <f t="shared" si="0"/>
        <v>-737</v>
      </c>
      <c r="F59" s="195">
        <f t="shared" si="1"/>
        <v>47.357142857142861</v>
      </c>
      <c r="G59" s="773" t="s">
        <v>827</v>
      </c>
      <c r="H59" s="558"/>
      <c r="I59" s="265"/>
    </row>
    <row r="60" spans="1:24" ht="97.5" customHeight="1" x14ac:dyDescent="0.25">
      <c r="A60" s="137"/>
      <c r="B60" s="783" t="s">
        <v>423</v>
      </c>
      <c r="C60" s="194">
        <v>0</v>
      </c>
      <c r="D60" s="194">
        <v>348</v>
      </c>
      <c r="E60" s="784">
        <f t="shared" si="0"/>
        <v>348</v>
      </c>
      <c r="F60" s="195">
        <v>435</v>
      </c>
      <c r="G60" s="773" t="s">
        <v>844</v>
      </c>
      <c r="H60" s="558"/>
      <c r="I60" s="265"/>
    </row>
    <row r="61" spans="1:24" ht="94.5" x14ac:dyDescent="0.25">
      <c r="A61" s="137"/>
      <c r="B61" s="783" t="s">
        <v>424</v>
      </c>
      <c r="C61" s="194">
        <v>250</v>
      </c>
      <c r="D61" s="194">
        <v>0</v>
      </c>
      <c r="E61" s="194">
        <f t="shared" si="0"/>
        <v>-250</v>
      </c>
      <c r="F61" s="195">
        <f t="shared" si="1"/>
        <v>0</v>
      </c>
      <c r="G61" s="773" t="s">
        <v>687</v>
      </c>
      <c r="H61" s="558"/>
      <c r="I61" s="265"/>
    </row>
    <row r="62" spans="1:24" ht="78.75" x14ac:dyDescent="0.25">
      <c r="A62" s="137"/>
      <c r="B62" s="783" t="s">
        <v>425</v>
      </c>
      <c r="C62" s="700">
        <f>C57/C58</f>
        <v>1.7416909090909092</v>
      </c>
      <c r="D62" s="700">
        <f>D57/961</f>
        <v>2.377084287200832</v>
      </c>
      <c r="E62" s="700">
        <f t="shared" si="0"/>
        <v>0.6353933781099228</v>
      </c>
      <c r="F62" s="195">
        <f t="shared" si="1"/>
        <v>136.48140865830044</v>
      </c>
      <c r="G62" s="193" t="s">
        <v>845</v>
      </c>
      <c r="I62" s="265"/>
    </row>
    <row r="63" spans="1:24" ht="78.75" x14ac:dyDescent="0.25">
      <c r="A63" s="268"/>
      <c r="B63" s="783" t="s">
        <v>426</v>
      </c>
      <c r="C63" s="700">
        <v>35</v>
      </c>
      <c r="D63" s="700">
        <f>D58/5782*100</f>
        <v>19.785541335178138</v>
      </c>
      <c r="E63" s="700">
        <f t="shared" si="0"/>
        <v>-15.214458664821862</v>
      </c>
      <c r="F63" s="195">
        <f t="shared" si="1"/>
        <v>56.530118100508965</v>
      </c>
      <c r="G63" s="193" t="s">
        <v>828</v>
      </c>
      <c r="H63" s="558"/>
      <c r="I63" s="265"/>
    </row>
    <row r="64" spans="1:24" s="341" customFormat="1" x14ac:dyDescent="0.25">
      <c r="A64" s="344" t="s">
        <v>427</v>
      </c>
      <c r="B64" s="1186" t="s">
        <v>430</v>
      </c>
      <c r="C64" s="1187"/>
      <c r="D64" s="1187"/>
      <c r="E64" s="1187"/>
      <c r="F64" s="1187"/>
      <c r="G64" s="1188"/>
      <c r="H64" s="340"/>
      <c r="I64" s="289"/>
      <c r="J64" s="289"/>
      <c r="K64" s="289"/>
      <c r="L64" s="289"/>
      <c r="M64" s="289"/>
      <c r="N64" s="289"/>
      <c r="O64" s="289"/>
      <c r="P64" s="289"/>
      <c r="Q64" s="289"/>
      <c r="R64" s="289"/>
      <c r="S64" s="289"/>
      <c r="T64" s="289"/>
      <c r="U64" s="289"/>
      <c r="V64" s="289"/>
      <c r="W64" s="289"/>
      <c r="X64" s="289"/>
    </row>
    <row r="65" spans="1:24" s="341" customFormat="1" ht="47.25" x14ac:dyDescent="0.25">
      <c r="A65" s="352"/>
      <c r="B65" s="763" t="s">
        <v>196</v>
      </c>
      <c r="C65" s="105">
        <f>'звіт ІІІ кв'!E27</f>
        <v>4157.95</v>
      </c>
      <c r="D65" s="707">
        <f>'звіт ІІІ кв'!I27</f>
        <v>3572.3159999999998</v>
      </c>
      <c r="E65" s="785">
        <f>D65-C65</f>
        <v>-585.63400000000001</v>
      </c>
      <c r="F65" s="712">
        <f>D65/C65*100</f>
        <v>85.915318847027976</v>
      </c>
      <c r="G65" s="193" t="s">
        <v>887</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711" t="s">
        <v>72</v>
      </c>
      <c r="C66" s="786"/>
      <c r="D66" s="708"/>
      <c r="E66" s="766"/>
      <c r="F66" s="712"/>
      <c r="G66" s="787"/>
      <c r="H66" s="340"/>
      <c r="I66" s="289"/>
      <c r="J66" s="289"/>
      <c r="K66" s="289"/>
      <c r="L66" s="289"/>
      <c r="M66" s="289"/>
      <c r="N66" s="289"/>
      <c r="O66" s="289"/>
      <c r="P66" s="289"/>
      <c r="Q66" s="289"/>
      <c r="R66" s="289"/>
      <c r="S66" s="289"/>
      <c r="T66" s="289"/>
      <c r="U66" s="289"/>
      <c r="V66" s="289"/>
      <c r="W66" s="289"/>
      <c r="X66" s="289"/>
    </row>
    <row r="67" spans="1:24" ht="31.5" x14ac:dyDescent="0.25">
      <c r="A67" s="137"/>
      <c r="B67" s="774" t="s">
        <v>888</v>
      </c>
      <c r="C67" s="194">
        <v>37500</v>
      </c>
      <c r="D67" s="120">
        <v>22282</v>
      </c>
      <c r="E67" s="788">
        <f>D67-C67</f>
        <v>-15218</v>
      </c>
      <c r="F67" s="121">
        <f>D67/C67*100</f>
        <v>59.418666666666667</v>
      </c>
      <c r="G67" s="193" t="s">
        <v>766</v>
      </c>
      <c r="H67" s="562"/>
    </row>
    <row r="68" spans="1:24" ht="47.25" x14ac:dyDescent="0.25">
      <c r="A68" s="137"/>
      <c r="B68" s="748" t="s">
        <v>73</v>
      </c>
      <c r="C68" s="709"/>
      <c r="D68" s="709"/>
      <c r="E68" s="709"/>
      <c r="F68" s="709"/>
      <c r="G68" s="750"/>
    </row>
    <row r="69" spans="1:24" ht="78.75" x14ac:dyDescent="0.25">
      <c r="A69" s="137"/>
      <c r="B69" s="783" t="s">
        <v>889</v>
      </c>
      <c r="C69" s="194">
        <v>300</v>
      </c>
      <c r="D69" s="120">
        <v>163</v>
      </c>
      <c r="E69" s="788">
        <f>D69-C69</f>
        <v>-137</v>
      </c>
      <c r="F69" s="121">
        <f>D69/C69*100</f>
        <v>54.333333333333336</v>
      </c>
      <c r="G69" s="193" t="s">
        <v>831</v>
      </c>
      <c r="H69" s="562"/>
    </row>
    <row r="70" spans="1:24" ht="63" x14ac:dyDescent="0.25">
      <c r="A70" s="137"/>
      <c r="B70" s="783" t="s">
        <v>890</v>
      </c>
      <c r="C70" s="705">
        <v>5.72</v>
      </c>
      <c r="D70" s="765">
        <f>'звіт ІІІ кв'!I29/'показники ІІІ кв'!D69</f>
        <v>4.8977668711656444</v>
      </c>
      <c r="E70" s="777">
        <f>D70-C70</f>
        <v>-0.8222331288343554</v>
      </c>
      <c r="F70" s="121">
        <f>D70/C70*100</f>
        <v>85.625294950448321</v>
      </c>
      <c r="G70" s="193" t="s">
        <v>768</v>
      </c>
    </row>
    <row r="71" spans="1:24" ht="47.25" x14ac:dyDescent="0.25">
      <c r="A71" s="137"/>
      <c r="B71" s="748" t="s">
        <v>74</v>
      </c>
      <c r="C71" s="710"/>
      <c r="D71" s="710"/>
      <c r="E71" s="709"/>
      <c r="F71" s="709"/>
      <c r="G71" s="750"/>
    </row>
    <row r="72" spans="1:24" ht="94.5" x14ac:dyDescent="0.25">
      <c r="A72" s="137"/>
      <c r="B72" s="783" t="s">
        <v>891</v>
      </c>
      <c r="C72" s="194">
        <v>300</v>
      </c>
      <c r="D72" s="121">
        <v>163</v>
      </c>
      <c r="E72" s="775">
        <f>D72-C72</f>
        <v>-137</v>
      </c>
      <c r="F72" s="121">
        <f>D72/C72*100</f>
        <v>54.333333333333336</v>
      </c>
      <c r="G72" s="442" t="s">
        <v>725</v>
      </c>
      <c r="H72" s="558"/>
    </row>
    <row r="73" spans="1:24" ht="175.5" customHeight="1" x14ac:dyDescent="0.25">
      <c r="A73" s="268"/>
      <c r="B73" s="783" t="s">
        <v>892</v>
      </c>
      <c r="C73" s="194">
        <v>2.5</v>
      </c>
      <c r="D73" s="780" t="s">
        <v>653</v>
      </c>
      <c r="E73" s="780" t="s">
        <v>653</v>
      </c>
      <c r="F73" s="121" t="s">
        <v>653</v>
      </c>
      <c r="G73" s="442" t="s">
        <v>843</v>
      </c>
      <c r="H73" s="558"/>
    </row>
    <row r="74" spans="1:24" ht="39" customHeight="1" x14ac:dyDescent="0.25">
      <c r="A74" s="137" t="s">
        <v>71</v>
      </c>
      <c r="B74" s="1228" t="s">
        <v>432</v>
      </c>
      <c r="C74" s="1229"/>
      <c r="D74" s="1229"/>
      <c r="E74" s="1229"/>
      <c r="F74" s="1229"/>
      <c r="G74" s="1230"/>
    </row>
    <row r="75" spans="1:24" s="341" customFormat="1" ht="31.5" x14ac:dyDescent="0.25">
      <c r="A75" s="352"/>
      <c r="B75" s="767" t="s">
        <v>517</v>
      </c>
      <c r="C75" s="705">
        <f>'звіт ІІІ кв'!E31</f>
        <v>300</v>
      </c>
      <c r="D75" s="708">
        <f>'звіт ІІІ кв'!I31</f>
        <v>0</v>
      </c>
      <c r="E75" s="766">
        <f>D75-C75</f>
        <v>-300</v>
      </c>
      <c r="F75" s="712">
        <f>D75/C75*100</f>
        <v>0</v>
      </c>
      <c r="G75" s="764"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771" t="s">
        <v>893</v>
      </c>
      <c r="C76" s="68">
        <v>120</v>
      </c>
      <c r="D76" s="712">
        <v>71</v>
      </c>
      <c r="E76" s="775">
        <f>D76-C76</f>
        <v>-49</v>
      </c>
      <c r="F76" s="121">
        <f>D76/C76*100</f>
        <v>59.166666666666664</v>
      </c>
      <c r="G76" s="764" t="s">
        <v>689</v>
      </c>
    </row>
    <row r="77" spans="1:24" ht="31.5" x14ac:dyDescent="0.25">
      <c r="A77" s="137"/>
      <c r="B77" s="771" t="s">
        <v>894</v>
      </c>
      <c r="C77" s="705">
        <f>C75/C76</f>
        <v>2.5</v>
      </c>
      <c r="D77" s="708">
        <v>0</v>
      </c>
      <c r="E77" s="778">
        <f>D77-C77</f>
        <v>-2.5</v>
      </c>
      <c r="F77" s="121">
        <f>D77/C77*100</f>
        <v>0</v>
      </c>
      <c r="G77" s="764" t="s">
        <v>690</v>
      </c>
    </row>
    <row r="78" spans="1:24" ht="47.25" x14ac:dyDescent="0.25">
      <c r="A78" s="268"/>
      <c r="B78" s="771" t="s">
        <v>895</v>
      </c>
      <c r="C78" s="68">
        <v>80</v>
      </c>
      <c r="D78" s="708" t="s">
        <v>653</v>
      </c>
      <c r="E78" s="775" t="s">
        <v>653</v>
      </c>
      <c r="F78" s="121" t="s">
        <v>653</v>
      </c>
      <c r="G78" s="764" t="s">
        <v>690</v>
      </c>
    </row>
    <row r="79" spans="1:24" s="341" customFormat="1" x14ac:dyDescent="0.25">
      <c r="A79" s="378" t="s">
        <v>78</v>
      </c>
      <c r="B79" s="1217" t="s">
        <v>77</v>
      </c>
      <c r="C79" s="1218"/>
      <c r="D79" s="1218"/>
      <c r="E79" s="1218"/>
      <c r="F79" s="1218"/>
      <c r="G79" s="1219"/>
      <c r="H79" s="340"/>
      <c r="I79" s="289"/>
      <c r="J79" s="289"/>
      <c r="K79" s="289"/>
      <c r="L79" s="289"/>
      <c r="M79" s="289"/>
      <c r="N79" s="289"/>
      <c r="O79" s="289"/>
      <c r="P79" s="289"/>
      <c r="Q79" s="289"/>
      <c r="R79" s="289"/>
      <c r="S79" s="289"/>
      <c r="T79" s="289"/>
      <c r="U79" s="289"/>
      <c r="V79" s="289"/>
      <c r="W79" s="289"/>
      <c r="X79" s="289"/>
    </row>
    <row r="80" spans="1:24" ht="23.25" customHeight="1" x14ac:dyDescent="0.25">
      <c r="A80" s="272" t="s">
        <v>296</v>
      </c>
      <c r="B80" s="1136" t="s">
        <v>433</v>
      </c>
      <c r="C80" s="1137"/>
      <c r="D80" s="1137"/>
      <c r="E80" s="1137"/>
      <c r="F80" s="1137"/>
      <c r="G80" s="1138"/>
    </row>
    <row r="81" spans="1:24" ht="81.75" customHeight="1" x14ac:dyDescent="0.25">
      <c r="A81" s="272"/>
      <c r="B81" s="774" t="s">
        <v>517</v>
      </c>
      <c r="C81" s="757">
        <f>'звіт ІІІ кв'!E33</f>
        <v>802.21500000000003</v>
      </c>
      <c r="D81" s="757">
        <f>'звіт ІІІ кв'!I33</f>
        <v>2117</v>
      </c>
      <c r="E81" s="757">
        <f>D81-C81</f>
        <v>1314.7849999999999</v>
      </c>
      <c r="F81" s="195">
        <f>D81/C81*100</f>
        <v>263.89434253909485</v>
      </c>
      <c r="G81" s="701" t="s">
        <v>896</v>
      </c>
    </row>
    <row r="82" spans="1:24" s="548" customFormat="1" ht="66" customHeight="1" x14ac:dyDescent="0.25">
      <c r="A82" s="274"/>
      <c r="B82" s="783" t="s">
        <v>726</v>
      </c>
      <c r="C82" s="194">
        <v>140000</v>
      </c>
      <c r="D82" s="194">
        <v>218248</v>
      </c>
      <c r="E82" s="194">
        <f t="shared" ref="E82:E96" si="2">D82-C82</f>
        <v>78248</v>
      </c>
      <c r="F82" s="195">
        <f t="shared" ref="F82:F96" si="3">D82/C82*100</f>
        <v>155.89142857142858</v>
      </c>
      <c r="G82" s="701" t="s">
        <v>851</v>
      </c>
      <c r="H82" s="564"/>
      <c r="I82" s="547"/>
      <c r="J82" s="547"/>
      <c r="K82" s="547"/>
      <c r="L82" s="547"/>
      <c r="M82" s="547"/>
      <c r="N82" s="547"/>
      <c r="O82" s="547"/>
      <c r="P82" s="547"/>
      <c r="Q82" s="547"/>
      <c r="R82" s="547"/>
      <c r="S82" s="547"/>
      <c r="T82" s="547"/>
      <c r="U82" s="547"/>
      <c r="V82" s="547"/>
      <c r="W82" s="547"/>
      <c r="X82" s="547"/>
    </row>
    <row r="83" spans="1:24" s="548" customFormat="1" ht="84" customHeight="1" x14ac:dyDescent="0.25">
      <c r="A83" s="274"/>
      <c r="B83" s="783" t="s">
        <v>727</v>
      </c>
      <c r="C83" s="194">
        <v>3360</v>
      </c>
      <c r="D83" s="194">
        <v>2845</v>
      </c>
      <c r="E83" s="194">
        <f t="shared" si="2"/>
        <v>-515</v>
      </c>
      <c r="F83" s="195">
        <f t="shared" si="3"/>
        <v>84.672619047619051</v>
      </c>
      <c r="G83" s="701" t="s">
        <v>854</v>
      </c>
      <c r="H83" s="564"/>
      <c r="I83" s="547"/>
      <c r="J83" s="547"/>
      <c r="K83" s="547"/>
      <c r="L83" s="547"/>
      <c r="M83" s="547"/>
      <c r="N83" s="547"/>
      <c r="O83" s="547"/>
      <c r="P83" s="547"/>
      <c r="Q83" s="547"/>
      <c r="R83" s="547"/>
      <c r="S83" s="547"/>
      <c r="T83" s="547"/>
      <c r="U83" s="547"/>
      <c r="V83" s="547"/>
      <c r="W83" s="547"/>
      <c r="X83" s="547"/>
    </row>
    <row r="84" spans="1:24" s="548" customFormat="1" ht="63" x14ac:dyDescent="0.25">
      <c r="A84" s="274"/>
      <c r="B84" s="783" t="s">
        <v>772</v>
      </c>
      <c r="C84" s="700">
        <f>C81/C83</f>
        <v>0.23875446428571429</v>
      </c>
      <c r="D84" s="700" t="s">
        <v>653</v>
      </c>
      <c r="E84" s="700" t="s">
        <v>653</v>
      </c>
      <c r="F84" s="195" t="s">
        <v>653</v>
      </c>
      <c r="G84" s="701" t="s">
        <v>853</v>
      </c>
      <c r="H84" s="546"/>
      <c r="I84" s="547"/>
      <c r="J84" s="547"/>
      <c r="K84" s="547"/>
      <c r="L84" s="547"/>
      <c r="M84" s="547"/>
      <c r="N84" s="547"/>
      <c r="O84" s="547"/>
      <c r="P84" s="547"/>
      <c r="Q84" s="547"/>
      <c r="R84" s="547"/>
      <c r="S84" s="547"/>
      <c r="T84" s="547"/>
      <c r="U84" s="547"/>
      <c r="V84" s="547"/>
      <c r="W84" s="547"/>
      <c r="X84" s="547"/>
    </row>
    <row r="85" spans="1:24" ht="116.25" customHeight="1" x14ac:dyDescent="0.25">
      <c r="A85" s="274"/>
      <c r="B85" s="553" t="s">
        <v>897</v>
      </c>
      <c r="C85" s="705">
        <v>2.4</v>
      </c>
      <c r="D85" s="705">
        <f>D83/D82*100</f>
        <v>1.3035629192478282</v>
      </c>
      <c r="E85" s="700">
        <f t="shared" si="2"/>
        <v>-1.0964370807521717</v>
      </c>
      <c r="F85" s="195">
        <f t="shared" si="3"/>
        <v>54.315121635326179</v>
      </c>
      <c r="G85" s="442" t="s">
        <v>855</v>
      </c>
      <c r="H85" s="355"/>
    </row>
    <row r="86" spans="1:24" s="548" customFormat="1" ht="63" x14ac:dyDescent="0.25">
      <c r="A86" s="273"/>
      <c r="B86" s="552" t="s">
        <v>773</v>
      </c>
      <c r="C86" s="194">
        <v>73.7</v>
      </c>
      <c r="D86" s="781">
        <f>D120*100/23100</f>
        <v>59.835497835497833</v>
      </c>
      <c r="E86" s="781">
        <f t="shared" si="2"/>
        <v>-13.86450216450217</v>
      </c>
      <c r="F86" s="195">
        <f t="shared" si="3"/>
        <v>81.187921079372899</v>
      </c>
      <c r="G86" s="442" t="s">
        <v>898</v>
      </c>
      <c r="H86" s="564"/>
      <c r="I86" s="547"/>
      <c r="J86" s="547"/>
      <c r="K86" s="547"/>
      <c r="L86" s="547"/>
      <c r="M86" s="547"/>
      <c r="N86" s="547"/>
      <c r="O86" s="547"/>
      <c r="P86" s="547"/>
      <c r="Q86" s="547"/>
      <c r="R86" s="547"/>
      <c r="S86" s="547"/>
      <c r="T86" s="547"/>
      <c r="U86" s="547"/>
      <c r="V86" s="547"/>
      <c r="W86" s="547"/>
      <c r="X86" s="547"/>
    </row>
    <row r="87" spans="1:24" s="198" customFormat="1" ht="31.5" customHeight="1" x14ac:dyDescent="0.25">
      <c r="A87" s="274" t="s">
        <v>297</v>
      </c>
      <c r="B87" s="1136" t="s">
        <v>443</v>
      </c>
      <c r="C87" s="1137"/>
      <c r="D87" s="1137"/>
      <c r="E87" s="1137"/>
      <c r="F87" s="1137"/>
      <c r="G87" s="1138"/>
      <c r="H87" s="319"/>
      <c r="I87" s="124"/>
      <c r="J87" s="124"/>
      <c r="K87" s="124"/>
      <c r="L87" s="124"/>
      <c r="M87" s="124"/>
      <c r="N87" s="124"/>
      <c r="O87" s="124"/>
      <c r="P87" s="124"/>
      <c r="Q87" s="124"/>
      <c r="R87" s="124"/>
      <c r="S87" s="124"/>
      <c r="T87" s="124"/>
      <c r="U87" s="124"/>
      <c r="V87" s="124"/>
      <c r="W87" s="124"/>
      <c r="X87" s="124"/>
    </row>
    <row r="88" spans="1:24" ht="31.5" x14ac:dyDescent="0.25">
      <c r="A88" s="272"/>
      <c r="B88" s="552" t="s">
        <v>899</v>
      </c>
      <c r="C88" s="754">
        <v>12</v>
      </c>
      <c r="D88" s="754">
        <v>0</v>
      </c>
      <c r="E88" s="754">
        <f t="shared" si="2"/>
        <v>-12</v>
      </c>
      <c r="F88" s="192">
        <f t="shared" si="3"/>
        <v>0</v>
      </c>
      <c r="G88" s="442" t="s">
        <v>775</v>
      </c>
      <c r="H88" s="558"/>
    </row>
    <row r="89" spans="1:24" ht="63" x14ac:dyDescent="0.25">
      <c r="A89" s="273"/>
      <c r="B89" s="552" t="s">
        <v>900</v>
      </c>
      <c r="C89" s="754"/>
      <c r="D89" s="201">
        <v>0</v>
      </c>
      <c r="E89" s="754">
        <f t="shared" si="2"/>
        <v>0</v>
      </c>
      <c r="F89" s="754">
        <v>0</v>
      </c>
      <c r="G89" s="442" t="s">
        <v>691</v>
      </c>
      <c r="H89" s="558"/>
    </row>
    <row r="90" spans="1:24" s="290" customFormat="1" x14ac:dyDescent="0.25">
      <c r="A90" s="372" t="s">
        <v>298</v>
      </c>
      <c r="B90" s="1186" t="s">
        <v>446</v>
      </c>
      <c r="C90" s="1187"/>
      <c r="D90" s="1187"/>
      <c r="E90" s="1187"/>
      <c r="F90" s="1187"/>
      <c r="G90" s="1188"/>
      <c r="H90" s="340"/>
      <c r="I90" s="289"/>
      <c r="J90" s="289"/>
      <c r="K90" s="289"/>
      <c r="L90" s="289"/>
      <c r="M90" s="289"/>
      <c r="N90" s="289"/>
      <c r="O90" s="289"/>
      <c r="P90" s="289"/>
      <c r="Q90" s="289"/>
      <c r="R90" s="289"/>
      <c r="S90" s="289"/>
      <c r="T90" s="289"/>
      <c r="U90" s="289"/>
      <c r="V90" s="289"/>
      <c r="W90" s="289"/>
      <c r="X90" s="289"/>
    </row>
    <row r="91" spans="1:24" s="341" customFormat="1" ht="63" x14ac:dyDescent="0.25">
      <c r="A91" s="376"/>
      <c r="B91" s="763" t="s">
        <v>517</v>
      </c>
      <c r="C91" s="105">
        <f>'звіт ІІІ кв'!E35</f>
        <v>1111.3</v>
      </c>
      <c r="D91" s="105">
        <f>'звіт ІІІ кв'!I35</f>
        <v>1927.78</v>
      </c>
      <c r="E91" s="105">
        <f t="shared" si="2"/>
        <v>816.48</v>
      </c>
      <c r="F91" s="706">
        <f t="shared" si="3"/>
        <v>173.47070997930351</v>
      </c>
      <c r="G91" s="773" t="s">
        <v>901</v>
      </c>
      <c r="H91" s="340"/>
      <c r="I91" s="289"/>
      <c r="J91" s="289"/>
      <c r="K91" s="289"/>
      <c r="L91" s="289"/>
      <c r="M91" s="289"/>
      <c r="N91" s="289"/>
      <c r="O91" s="289"/>
      <c r="P91" s="289"/>
      <c r="Q91" s="289"/>
      <c r="R91" s="289"/>
      <c r="S91" s="289"/>
      <c r="T91" s="289"/>
      <c r="U91" s="289"/>
      <c r="V91" s="289"/>
      <c r="W91" s="289"/>
      <c r="X91" s="289"/>
    </row>
    <row r="92" spans="1:24" s="341" customFormat="1" ht="31.5" x14ac:dyDescent="0.25">
      <c r="A92" s="377"/>
      <c r="B92" s="763" t="s">
        <v>902</v>
      </c>
      <c r="C92" s="68">
        <v>4820</v>
      </c>
      <c r="D92" s="68">
        <v>1029</v>
      </c>
      <c r="E92" s="68">
        <f t="shared" si="2"/>
        <v>-3791</v>
      </c>
      <c r="F92" s="706">
        <f t="shared" si="3"/>
        <v>21.348547717842322</v>
      </c>
      <c r="G92" s="704" t="s">
        <v>940</v>
      </c>
      <c r="H92" s="355"/>
      <c r="I92" s="289"/>
      <c r="J92" s="289"/>
      <c r="K92" s="289"/>
      <c r="L92" s="289"/>
      <c r="M92" s="289"/>
      <c r="N92" s="289"/>
      <c r="O92" s="289"/>
      <c r="P92" s="289"/>
      <c r="Q92" s="289"/>
      <c r="R92" s="289"/>
      <c r="S92" s="289"/>
      <c r="T92" s="289"/>
      <c r="U92" s="289"/>
      <c r="V92" s="289"/>
      <c r="W92" s="289"/>
      <c r="X92" s="289"/>
    </row>
    <row r="93" spans="1:24" s="341" customFormat="1" ht="78.75" x14ac:dyDescent="0.25">
      <c r="A93" s="377"/>
      <c r="B93" s="763" t="s">
        <v>903</v>
      </c>
      <c r="C93" s="68">
        <v>0.23</v>
      </c>
      <c r="D93" s="705" t="s">
        <v>653</v>
      </c>
      <c r="E93" s="705" t="s">
        <v>653</v>
      </c>
      <c r="F93" s="706" t="s">
        <v>653</v>
      </c>
      <c r="G93" s="704" t="s">
        <v>776</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763" t="s">
        <v>904</v>
      </c>
      <c r="C94" s="789">
        <v>10</v>
      </c>
      <c r="D94" s="789">
        <f>D92/21419*100</f>
        <v>4.8041458518138107</v>
      </c>
      <c r="E94" s="789">
        <f t="shared" si="2"/>
        <v>-5.1958541481861893</v>
      </c>
      <c r="F94" s="706">
        <f t="shared" si="3"/>
        <v>48.041458518138107</v>
      </c>
      <c r="G94" s="704" t="s">
        <v>730</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86" t="s">
        <v>447</v>
      </c>
      <c r="C95" s="1187"/>
      <c r="D95" s="1187"/>
      <c r="E95" s="1187"/>
      <c r="F95" s="1187"/>
      <c r="G95" s="1188"/>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717" t="s">
        <v>905</v>
      </c>
      <c r="C96" s="68">
        <v>15</v>
      </c>
      <c r="D96" s="68">
        <v>5</v>
      </c>
      <c r="E96" s="68">
        <f t="shared" si="2"/>
        <v>-10</v>
      </c>
      <c r="F96" s="706">
        <f t="shared" si="3"/>
        <v>33.333333333333329</v>
      </c>
      <c r="G96" s="764"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717" t="s">
        <v>906</v>
      </c>
      <c r="C97" s="68" t="s">
        <v>653</v>
      </c>
      <c r="D97" s="68" t="s">
        <v>653</v>
      </c>
      <c r="E97" s="68" t="s">
        <v>653</v>
      </c>
      <c r="F97" s="68" t="s">
        <v>653</v>
      </c>
      <c r="G97" s="764" t="s">
        <v>694</v>
      </c>
      <c r="H97" s="355"/>
      <c r="I97" s="289"/>
      <c r="J97" s="289"/>
      <c r="K97" s="289"/>
      <c r="L97" s="289"/>
      <c r="M97" s="289"/>
      <c r="N97" s="289"/>
      <c r="O97" s="289"/>
      <c r="P97" s="289"/>
      <c r="Q97" s="289"/>
      <c r="R97" s="289"/>
      <c r="S97" s="289"/>
      <c r="T97" s="289"/>
      <c r="U97" s="289"/>
      <c r="V97" s="289"/>
      <c r="W97" s="289"/>
      <c r="X97" s="289"/>
    </row>
    <row r="98" spans="1:24" s="341" customFormat="1" ht="20.25" customHeight="1" x14ac:dyDescent="0.25">
      <c r="A98" s="291" t="s">
        <v>306</v>
      </c>
      <c r="B98" s="1189" t="s">
        <v>448</v>
      </c>
      <c r="C98" s="1189"/>
      <c r="D98" s="1189"/>
      <c r="E98" s="1189"/>
      <c r="F98" s="1189"/>
      <c r="G98" s="1189"/>
      <c r="H98" s="340"/>
      <c r="I98" s="289"/>
      <c r="J98" s="289"/>
      <c r="K98" s="289"/>
      <c r="L98" s="289"/>
      <c r="M98" s="289"/>
      <c r="N98" s="289"/>
      <c r="O98" s="289"/>
      <c r="P98" s="289"/>
      <c r="Q98" s="289"/>
      <c r="R98" s="289"/>
      <c r="S98" s="289"/>
      <c r="T98" s="289"/>
      <c r="U98" s="289"/>
      <c r="V98" s="289"/>
      <c r="W98" s="289"/>
      <c r="X98" s="289"/>
    </row>
    <row r="99" spans="1:24" s="341" customFormat="1" ht="31.5" x14ac:dyDescent="0.25">
      <c r="A99" s="392"/>
      <c r="B99" s="763" t="s">
        <v>673</v>
      </c>
      <c r="C99" s="705">
        <f>C101+C106</f>
        <v>539</v>
      </c>
      <c r="D99" s="105">
        <f>'звіт ІІІ кв'!I40</f>
        <v>0</v>
      </c>
      <c r="E99" s="105">
        <f>D99-C99</f>
        <v>-539</v>
      </c>
      <c r="F99" s="706">
        <f>D99/C99*100</f>
        <v>0</v>
      </c>
      <c r="G99" s="704" t="s">
        <v>778</v>
      </c>
      <c r="H99" s="340"/>
      <c r="I99" s="289"/>
      <c r="J99" s="289"/>
      <c r="K99" s="289"/>
      <c r="L99" s="289"/>
      <c r="M99" s="289"/>
      <c r="N99" s="289"/>
      <c r="O99" s="289"/>
      <c r="P99" s="289"/>
      <c r="Q99" s="289"/>
      <c r="R99" s="289"/>
      <c r="S99" s="289"/>
      <c r="T99" s="289"/>
      <c r="U99" s="289"/>
      <c r="V99" s="289"/>
      <c r="W99" s="289"/>
      <c r="X99" s="289"/>
    </row>
    <row r="100" spans="1:24" s="341" customFormat="1" x14ac:dyDescent="0.25">
      <c r="A100" s="381"/>
      <c r="B100" s="1188" t="s">
        <v>100</v>
      </c>
      <c r="C100" s="1189"/>
      <c r="D100" s="1189"/>
      <c r="E100" s="1189"/>
      <c r="F100" s="1189"/>
      <c r="G100" s="1189"/>
      <c r="H100" s="340"/>
      <c r="I100" s="289"/>
      <c r="J100" s="289"/>
      <c r="K100" s="289"/>
      <c r="L100" s="289"/>
      <c r="M100" s="289"/>
      <c r="N100" s="289"/>
      <c r="O100" s="289"/>
      <c r="P100" s="289"/>
      <c r="Q100" s="289"/>
      <c r="R100" s="289"/>
      <c r="S100" s="289"/>
      <c r="T100" s="289"/>
      <c r="U100" s="289"/>
      <c r="V100" s="289"/>
      <c r="W100" s="289"/>
      <c r="X100" s="289"/>
    </row>
    <row r="101" spans="1:24" s="551" customFormat="1" ht="47.25" x14ac:dyDescent="0.25">
      <c r="A101" s="381"/>
      <c r="B101" s="790" t="s">
        <v>449</v>
      </c>
      <c r="C101" s="705">
        <v>488</v>
      </c>
      <c r="D101" s="705">
        <f>'звіт І кв'!I41</f>
        <v>0</v>
      </c>
      <c r="E101" s="705">
        <f>D101-C101</f>
        <v>-488</v>
      </c>
      <c r="F101" s="706">
        <v>0</v>
      </c>
      <c r="G101" s="764" t="s">
        <v>830</v>
      </c>
      <c r="H101" s="565"/>
      <c r="I101" s="550"/>
      <c r="J101" s="550"/>
      <c r="K101" s="550"/>
      <c r="L101" s="550"/>
      <c r="M101" s="550"/>
      <c r="N101" s="550"/>
      <c r="O101" s="550"/>
      <c r="P101" s="550"/>
      <c r="Q101" s="550"/>
      <c r="R101" s="550"/>
      <c r="S101" s="550"/>
      <c r="T101" s="550"/>
      <c r="U101" s="550"/>
      <c r="V101" s="550"/>
      <c r="W101" s="550"/>
      <c r="X101" s="550"/>
    </row>
    <row r="102" spans="1:24" s="551" customFormat="1" ht="63" x14ac:dyDescent="0.25">
      <c r="A102" s="381"/>
      <c r="B102" s="790" t="s">
        <v>450</v>
      </c>
      <c r="C102" s="68">
        <v>400</v>
      </c>
      <c r="D102" s="68">
        <v>131</v>
      </c>
      <c r="E102" s="705">
        <f>D102-C102</f>
        <v>-269</v>
      </c>
      <c r="F102" s="706">
        <f>D102/C102*100</f>
        <v>32.75</v>
      </c>
      <c r="G102" s="764"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x14ac:dyDescent="0.25">
      <c r="A103" s="381"/>
      <c r="B103" s="790" t="s">
        <v>451</v>
      </c>
      <c r="C103" s="68">
        <f>C101/C102</f>
        <v>1.22</v>
      </c>
      <c r="D103" s="705" t="s">
        <v>653</v>
      </c>
      <c r="E103" s="705" t="s">
        <v>653</v>
      </c>
      <c r="F103" s="706" t="s">
        <v>653</v>
      </c>
      <c r="G103" s="764"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x14ac:dyDescent="0.25">
      <c r="A104" s="381"/>
      <c r="B104" s="790" t="s">
        <v>452</v>
      </c>
      <c r="C104" s="765">
        <v>86.1</v>
      </c>
      <c r="D104" s="791">
        <v>100</v>
      </c>
      <c r="E104" s="792">
        <f>D104-C104</f>
        <v>13.900000000000006</v>
      </c>
      <c r="F104" s="706">
        <f>D104/C104*100</f>
        <v>116.14401858304298</v>
      </c>
      <c r="G104" s="764" t="s">
        <v>582</v>
      </c>
      <c r="H104" s="549"/>
      <c r="I104" s="550"/>
      <c r="J104" s="550"/>
      <c r="K104" s="550"/>
      <c r="L104" s="550"/>
      <c r="M104" s="550"/>
      <c r="N104" s="550"/>
      <c r="O104" s="550"/>
      <c r="P104" s="550"/>
      <c r="Q104" s="550"/>
      <c r="R104" s="550"/>
      <c r="S104" s="550"/>
      <c r="T104" s="550"/>
      <c r="U104" s="550"/>
      <c r="V104" s="550"/>
      <c r="W104" s="550"/>
      <c r="X104" s="550"/>
    </row>
    <row r="105" spans="1:24" s="566" customFormat="1" ht="18" customHeight="1" x14ac:dyDescent="0.25">
      <c r="A105" s="382"/>
      <c r="B105" s="1190" t="s">
        <v>101</v>
      </c>
      <c r="C105" s="1190"/>
      <c r="D105" s="1190"/>
      <c r="E105" s="1190"/>
      <c r="F105" s="1190"/>
      <c r="G105" s="1191"/>
      <c r="H105" s="565"/>
      <c r="I105" s="550"/>
      <c r="J105" s="550"/>
      <c r="K105" s="550"/>
      <c r="L105" s="550"/>
      <c r="M105" s="550"/>
      <c r="N105" s="550"/>
      <c r="O105" s="550"/>
      <c r="P105" s="550"/>
      <c r="Q105" s="550"/>
      <c r="R105" s="550"/>
      <c r="S105" s="550"/>
      <c r="T105" s="550"/>
      <c r="U105" s="550"/>
      <c r="V105" s="550"/>
      <c r="W105" s="550"/>
      <c r="X105" s="550"/>
    </row>
    <row r="106" spans="1:24" s="551" customFormat="1" ht="47.25" x14ac:dyDescent="0.25">
      <c r="A106" s="381"/>
      <c r="B106" s="703" t="s">
        <v>453</v>
      </c>
      <c r="C106" s="707">
        <f>'звіт ІІІ кв'!E42</f>
        <v>51</v>
      </c>
      <c r="D106" s="707">
        <f>'звіт ІІІ кв'!L42</f>
        <v>0</v>
      </c>
      <c r="E106" s="712">
        <f>D106-C106</f>
        <v>-51</v>
      </c>
      <c r="F106" s="712">
        <f>D106/C106*100</f>
        <v>0</v>
      </c>
      <c r="G106" s="764" t="s">
        <v>847</v>
      </c>
      <c r="H106" s="565"/>
      <c r="I106" s="550"/>
      <c r="J106" s="550"/>
      <c r="K106" s="550"/>
      <c r="L106" s="550"/>
      <c r="M106" s="550"/>
      <c r="N106" s="550"/>
      <c r="O106" s="550"/>
      <c r="P106" s="550"/>
      <c r="Q106" s="550"/>
      <c r="R106" s="550"/>
      <c r="S106" s="550"/>
      <c r="T106" s="550"/>
      <c r="U106" s="550"/>
      <c r="V106" s="550"/>
      <c r="W106" s="550"/>
      <c r="X106" s="550"/>
    </row>
    <row r="107" spans="1:24" s="551" customFormat="1" ht="63" x14ac:dyDescent="0.25">
      <c r="A107" s="381"/>
      <c r="B107" s="703" t="s">
        <v>454</v>
      </c>
      <c r="C107" s="791">
        <v>40</v>
      </c>
      <c r="D107" s="791">
        <v>195</v>
      </c>
      <c r="E107" s="793">
        <f>D107-C107</f>
        <v>155</v>
      </c>
      <c r="F107" s="712">
        <f>D107/C107*100</f>
        <v>487.5</v>
      </c>
      <c r="G107" s="764"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x14ac:dyDescent="0.25">
      <c r="A108" s="381"/>
      <c r="B108" s="703" t="s">
        <v>451</v>
      </c>
      <c r="C108" s="765">
        <f>C106/C107</f>
        <v>1.2749999999999999</v>
      </c>
      <c r="D108" s="765">
        <v>0</v>
      </c>
      <c r="E108" s="712">
        <v>0</v>
      </c>
      <c r="F108" s="712">
        <f>D108/C108*100</f>
        <v>0</v>
      </c>
      <c r="G108" s="764" t="s">
        <v>696</v>
      </c>
      <c r="H108" s="565"/>
      <c r="I108" s="550"/>
      <c r="J108" s="550"/>
      <c r="K108" s="550"/>
      <c r="L108" s="550"/>
      <c r="M108" s="550"/>
      <c r="N108" s="550"/>
      <c r="O108" s="550"/>
      <c r="P108" s="550"/>
      <c r="Q108" s="550"/>
      <c r="R108" s="550"/>
      <c r="S108" s="550"/>
      <c r="T108" s="550"/>
      <c r="U108" s="550"/>
      <c r="V108" s="550"/>
      <c r="W108" s="550"/>
      <c r="X108" s="550"/>
    </row>
    <row r="109" spans="1:24" s="551" customFormat="1" ht="63" x14ac:dyDescent="0.25">
      <c r="A109" s="383"/>
      <c r="B109" s="703" t="s">
        <v>581</v>
      </c>
      <c r="C109" s="765">
        <v>53.9</v>
      </c>
      <c r="D109" s="791">
        <v>100</v>
      </c>
      <c r="E109" s="768">
        <f>D109-C109</f>
        <v>46.1</v>
      </c>
      <c r="F109" s="712">
        <f>D109/C109*100</f>
        <v>185.5287569573284</v>
      </c>
      <c r="G109" s="764" t="s">
        <v>657</v>
      </c>
      <c r="H109" s="549"/>
      <c r="I109" s="550"/>
      <c r="J109" s="550"/>
      <c r="K109" s="550"/>
      <c r="L109" s="550"/>
      <c r="M109" s="550"/>
      <c r="N109" s="550"/>
      <c r="O109" s="550"/>
      <c r="P109" s="550"/>
      <c r="Q109" s="550"/>
      <c r="R109" s="550"/>
      <c r="S109" s="550"/>
      <c r="T109" s="550"/>
      <c r="U109" s="550"/>
      <c r="V109" s="550"/>
      <c r="W109" s="550"/>
      <c r="X109" s="550"/>
    </row>
    <row r="110" spans="1:24" s="341" customFormat="1" x14ac:dyDescent="0.25">
      <c r="A110" s="585" t="s">
        <v>103</v>
      </c>
      <c r="B110" s="1217" t="s">
        <v>102</v>
      </c>
      <c r="C110" s="1218"/>
      <c r="D110" s="1218"/>
      <c r="E110" s="1218"/>
      <c r="F110" s="1218"/>
      <c r="G110" s="1219"/>
      <c r="H110" s="340"/>
      <c r="I110" s="289"/>
      <c r="J110" s="289"/>
      <c r="K110" s="289"/>
      <c r="L110" s="289"/>
      <c r="M110" s="289"/>
      <c r="N110" s="289"/>
      <c r="O110" s="289"/>
      <c r="P110" s="289"/>
      <c r="Q110" s="289"/>
      <c r="R110" s="289"/>
      <c r="S110" s="289"/>
      <c r="T110" s="289"/>
      <c r="U110" s="289"/>
      <c r="V110" s="289"/>
      <c r="W110" s="289"/>
      <c r="X110" s="289"/>
    </row>
    <row r="111" spans="1:24" ht="33.75" customHeight="1" x14ac:dyDescent="0.25">
      <c r="A111" s="212" t="s">
        <v>105</v>
      </c>
      <c r="B111" s="1136" t="s">
        <v>455</v>
      </c>
      <c r="C111" s="1137"/>
      <c r="D111" s="1137"/>
      <c r="E111" s="1137"/>
      <c r="F111" s="1137"/>
      <c r="G111" s="1138"/>
    </row>
    <row r="112" spans="1:24" ht="47.25" x14ac:dyDescent="0.25">
      <c r="A112" s="212"/>
      <c r="B112" s="747" t="s">
        <v>456</v>
      </c>
      <c r="C112" s="368"/>
      <c r="D112" s="368"/>
      <c r="E112" s="275"/>
      <c r="F112" s="275"/>
      <c r="G112" s="750"/>
    </row>
    <row r="113" spans="1:24" s="341" customFormat="1" ht="141.75" x14ac:dyDescent="0.25">
      <c r="A113" s="382"/>
      <c r="B113" s="790" t="s">
        <v>907</v>
      </c>
      <c r="C113" s="105">
        <f>'звіт ІІІ кв'!F45</f>
        <v>830.95</v>
      </c>
      <c r="D113" s="746">
        <f>'звіт ІІІ кв'!J45</f>
        <v>672.23</v>
      </c>
      <c r="E113" s="705">
        <f t="shared" ref="E113:E121" si="4">D113-C113</f>
        <v>-158.72000000000003</v>
      </c>
      <c r="F113" s="706">
        <f t="shared" ref="F113:F121" si="5">D113/C113*100</f>
        <v>80.898971057223662</v>
      </c>
      <c r="G113" s="701" t="s">
        <v>908</v>
      </c>
      <c r="H113" s="340"/>
      <c r="I113" s="289"/>
      <c r="J113" s="289"/>
      <c r="K113" s="289"/>
      <c r="L113" s="289"/>
      <c r="M113" s="289"/>
      <c r="N113" s="289"/>
      <c r="O113" s="289"/>
      <c r="P113" s="289"/>
      <c r="Q113" s="289"/>
      <c r="R113" s="289"/>
      <c r="S113" s="289"/>
      <c r="T113" s="289"/>
      <c r="U113" s="289"/>
      <c r="V113" s="289"/>
      <c r="W113" s="289"/>
      <c r="X113" s="289"/>
    </row>
    <row r="114" spans="1:24" s="341" customFormat="1" ht="63" x14ac:dyDescent="0.25">
      <c r="A114" s="382"/>
      <c r="B114" s="790" t="s">
        <v>909</v>
      </c>
      <c r="C114" s="68">
        <v>4800</v>
      </c>
      <c r="D114" s="744">
        <v>2401</v>
      </c>
      <c r="E114" s="706">
        <f t="shared" si="4"/>
        <v>-2399</v>
      </c>
      <c r="F114" s="706">
        <f t="shared" si="5"/>
        <v>50.020833333333336</v>
      </c>
      <c r="G114" s="701"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790" t="s">
        <v>910</v>
      </c>
      <c r="C115" s="705">
        <f>'звіт ІІІ кв'!G45</f>
        <v>0</v>
      </c>
      <c r="D115" s="705">
        <f>'звіт ІІІ кв'!K45</f>
        <v>0</v>
      </c>
      <c r="E115" s="705">
        <f t="shared" si="4"/>
        <v>0</v>
      </c>
      <c r="F115" s="706" t="e">
        <f>D115/C115*100</f>
        <v>#DIV/0!</v>
      </c>
      <c r="G115" s="701" t="s">
        <v>781</v>
      </c>
      <c r="H115" s="340"/>
      <c r="I115" s="289"/>
      <c r="J115" s="289"/>
      <c r="K115" s="289"/>
      <c r="L115" s="289"/>
      <c r="M115" s="289"/>
      <c r="N115" s="289"/>
      <c r="O115" s="289"/>
      <c r="P115" s="289"/>
      <c r="Q115" s="289"/>
      <c r="R115" s="289"/>
      <c r="S115" s="289"/>
      <c r="T115" s="289"/>
      <c r="U115" s="289"/>
      <c r="V115" s="289"/>
      <c r="W115" s="289"/>
      <c r="X115" s="289"/>
    </row>
    <row r="116" spans="1:24" s="341" customFormat="1" ht="126" x14ac:dyDescent="0.25">
      <c r="A116" s="382"/>
      <c r="B116" s="790" t="s">
        <v>911</v>
      </c>
      <c r="C116" s="706">
        <v>3360</v>
      </c>
      <c r="D116" s="706">
        <v>0</v>
      </c>
      <c r="E116" s="706">
        <f t="shared" si="4"/>
        <v>-3360</v>
      </c>
      <c r="F116" s="706">
        <f t="shared" si="5"/>
        <v>0</v>
      </c>
      <c r="G116" s="701" t="s">
        <v>840</v>
      </c>
      <c r="H116" s="355"/>
      <c r="I116" s="289"/>
      <c r="J116" s="289"/>
      <c r="K116" s="289"/>
      <c r="L116" s="289"/>
      <c r="M116" s="289"/>
      <c r="N116" s="289"/>
      <c r="O116" s="289"/>
      <c r="P116" s="289"/>
      <c r="Q116" s="289"/>
      <c r="R116" s="289"/>
      <c r="S116" s="289"/>
      <c r="T116" s="289"/>
      <c r="U116" s="289"/>
      <c r="V116" s="289"/>
      <c r="W116" s="289"/>
      <c r="X116" s="289"/>
    </row>
    <row r="117" spans="1:24" ht="78.75" x14ac:dyDescent="0.25">
      <c r="A117" s="208"/>
      <c r="B117" s="553" t="s">
        <v>912</v>
      </c>
      <c r="C117" s="195">
        <v>2800</v>
      </c>
      <c r="D117" s="195">
        <v>1407</v>
      </c>
      <c r="E117" s="195">
        <f t="shared" si="4"/>
        <v>-1393</v>
      </c>
      <c r="F117" s="195">
        <f t="shared" si="5"/>
        <v>50.249999999999993</v>
      </c>
      <c r="G117" s="701" t="s">
        <v>848</v>
      </c>
      <c r="H117" s="558"/>
    </row>
    <row r="118" spans="1:24" ht="31.5" x14ac:dyDescent="0.25">
      <c r="A118" s="208"/>
      <c r="B118" s="553" t="s">
        <v>913</v>
      </c>
      <c r="C118" s="700">
        <f>(C113+C115)/C117</f>
        <v>0.29676785714285714</v>
      </c>
      <c r="D118" s="700">
        <f>(D113+D115)/D117</f>
        <v>0.47777540867093105</v>
      </c>
      <c r="E118" s="700">
        <f t="shared" si="4"/>
        <v>0.18100755152807391</v>
      </c>
      <c r="F118" s="195">
        <f t="shared" si="5"/>
        <v>160.99297722830579</v>
      </c>
      <c r="G118" s="442" t="s">
        <v>714</v>
      </c>
    </row>
    <row r="119" spans="1:24" s="548" customFormat="1" ht="78.75" x14ac:dyDescent="0.25">
      <c r="A119" s="208"/>
      <c r="B119" s="553" t="s">
        <v>733</v>
      </c>
      <c r="C119" s="781">
        <v>83</v>
      </c>
      <c r="D119" s="781">
        <f>D117/2845*100</f>
        <v>49.45518453427065</v>
      </c>
      <c r="E119" s="781">
        <f>D119-C119</f>
        <v>-33.54481546572935</v>
      </c>
      <c r="F119" s="195">
        <f>D119/C119*100</f>
        <v>59.584559679844148</v>
      </c>
      <c r="G119" s="442" t="s">
        <v>857</v>
      </c>
      <c r="H119" s="546"/>
      <c r="I119" s="547"/>
      <c r="J119" s="547"/>
      <c r="K119" s="547"/>
      <c r="L119" s="547"/>
      <c r="M119" s="547"/>
      <c r="N119" s="547"/>
      <c r="O119" s="547"/>
      <c r="P119" s="547"/>
      <c r="Q119" s="547"/>
      <c r="R119" s="547"/>
      <c r="S119" s="547"/>
      <c r="T119" s="547"/>
      <c r="U119" s="547"/>
      <c r="V119" s="547"/>
      <c r="W119" s="547"/>
      <c r="X119" s="547"/>
    </row>
    <row r="120" spans="1:24" ht="63" x14ac:dyDescent="0.25">
      <c r="A120" s="208"/>
      <c r="B120" s="553" t="s">
        <v>914</v>
      </c>
      <c r="C120" s="195">
        <v>17900</v>
      </c>
      <c r="D120" s="195">
        <v>13822</v>
      </c>
      <c r="E120" s="195">
        <f t="shared" si="4"/>
        <v>-4078</v>
      </c>
      <c r="F120" s="195">
        <f t="shared" si="5"/>
        <v>77.217877094972067</v>
      </c>
      <c r="G120" s="442" t="s">
        <v>734</v>
      </c>
    </row>
    <row r="121" spans="1:24" ht="63" x14ac:dyDescent="0.25">
      <c r="A121" s="208"/>
      <c r="B121" s="553" t="s">
        <v>915</v>
      </c>
      <c r="C121" s="781">
        <v>73.7</v>
      </c>
      <c r="D121" s="781">
        <f>D120*100/23100</f>
        <v>59.835497835497833</v>
      </c>
      <c r="E121" s="781">
        <f t="shared" si="4"/>
        <v>-13.86450216450217</v>
      </c>
      <c r="F121" s="781">
        <f t="shared" si="5"/>
        <v>81.187921079372899</v>
      </c>
      <c r="G121" s="442" t="s">
        <v>734</v>
      </c>
    </row>
    <row r="122" spans="1:24" ht="51.75" customHeight="1" x14ac:dyDescent="0.25">
      <c r="A122" s="208"/>
      <c r="B122" s="794" t="s">
        <v>466</v>
      </c>
      <c r="C122" s="705"/>
      <c r="D122" s="705"/>
      <c r="E122" s="700"/>
      <c r="F122" s="195"/>
      <c r="G122" s="442"/>
      <c r="I122" s="277"/>
      <c r="J122" s="277"/>
      <c r="K122" s="277"/>
      <c r="L122" s="277"/>
      <c r="M122" s="277"/>
      <c r="N122" s="277"/>
      <c r="O122" s="277"/>
      <c r="P122" s="277"/>
      <c r="Q122" s="277"/>
      <c r="R122" s="277"/>
      <c r="S122" s="277"/>
      <c r="T122" s="277"/>
      <c r="U122" s="277"/>
      <c r="V122" s="277"/>
      <c r="W122" s="277"/>
      <c r="X122" s="277"/>
    </row>
    <row r="123" spans="1:24" ht="129.75" customHeight="1" x14ac:dyDescent="0.25">
      <c r="A123" s="208"/>
      <c r="B123" s="783" t="s">
        <v>916</v>
      </c>
      <c r="C123" s="700"/>
      <c r="D123" s="195">
        <v>608</v>
      </c>
      <c r="E123" s="795">
        <f>D123-C123</f>
        <v>608</v>
      </c>
      <c r="F123" s="195">
        <v>100</v>
      </c>
      <c r="G123" s="442" t="s">
        <v>850</v>
      </c>
    </row>
    <row r="124" spans="1:24" s="548" customFormat="1" ht="63" x14ac:dyDescent="0.25">
      <c r="A124" s="208"/>
      <c r="B124" s="783" t="s">
        <v>735</v>
      </c>
      <c r="C124" s="781">
        <v>60</v>
      </c>
      <c r="D124" s="781">
        <f>D123*100/441</f>
        <v>137.86848072562358</v>
      </c>
      <c r="E124" s="781">
        <f>D124-C124</f>
        <v>77.868480725623584</v>
      </c>
      <c r="F124" s="781">
        <f>D124/C124*100</f>
        <v>229.78080120937264</v>
      </c>
      <c r="G124" s="701" t="s">
        <v>856</v>
      </c>
      <c r="H124" s="546"/>
      <c r="I124" s="547"/>
      <c r="J124" s="547"/>
      <c r="K124" s="547"/>
      <c r="L124" s="547"/>
      <c r="M124" s="547"/>
      <c r="N124" s="547"/>
      <c r="O124" s="547"/>
      <c r="P124" s="547"/>
      <c r="Q124" s="547"/>
      <c r="R124" s="547"/>
      <c r="S124" s="547"/>
      <c r="T124" s="547"/>
      <c r="U124" s="547"/>
      <c r="V124" s="547"/>
      <c r="W124" s="547"/>
      <c r="X124" s="547"/>
    </row>
    <row r="125" spans="1:24" ht="31.5" x14ac:dyDescent="0.25">
      <c r="A125" s="208"/>
      <c r="B125" s="748" t="s">
        <v>569</v>
      </c>
      <c r="C125" s="705"/>
      <c r="D125" s="705"/>
      <c r="E125" s="195"/>
      <c r="F125" s="195"/>
      <c r="G125" s="442"/>
    </row>
    <row r="126" spans="1:24" s="548" customFormat="1" ht="192.75" customHeight="1" x14ac:dyDescent="0.25">
      <c r="A126" s="208"/>
      <c r="B126" s="783" t="s">
        <v>737</v>
      </c>
      <c r="C126" s="195">
        <v>1344</v>
      </c>
      <c r="D126" s="195">
        <v>39</v>
      </c>
      <c r="E126" s="195">
        <f>D126-C126</f>
        <v>-1305</v>
      </c>
      <c r="F126" s="781">
        <f>D126/C126*100</f>
        <v>2.9017857142857144</v>
      </c>
      <c r="G126" s="773" t="s">
        <v>858</v>
      </c>
      <c r="H126" s="546"/>
      <c r="I126" s="547"/>
      <c r="J126" s="547"/>
      <c r="K126" s="547"/>
      <c r="L126" s="547"/>
      <c r="M126" s="547"/>
      <c r="N126" s="547"/>
      <c r="O126" s="547"/>
      <c r="P126" s="547"/>
      <c r="Q126" s="547"/>
      <c r="R126" s="547"/>
      <c r="S126" s="547"/>
      <c r="T126" s="547"/>
      <c r="U126" s="547"/>
      <c r="V126" s="547"/>
      <c r="W126" s="547"/>
      <c r="X126" s="547"/>
    </row>
    <row r="127" spans="1:24" s="548" customFormat="1" ht="78.75" x14ac:dyDescent="0.25">
      <c r="A127" s="208"/>
      <c r="B127" s="553" t="s">
        <v>738</v>
      </c>
      <c r="C127" s="700">
        <v>40</v>
      </c>
      <c r="D127" s="700">
        <f>790*100/12304</f>
        <v>6.4206762028608582</v>
      </c>
      <c r="E127" s="700">
        <f>D127-C127</f>
        <v>-33.579323797139139</v>
      </c>
      <c r="F127" s="781">
        <f>D127/C127*100</f>
        <v>16.051690507152145</v>
      </c>
      <c r="G127" s="773" t="s">
        <v>842</v>
      </c>
      <c r="H127" s="546"/>
      <c r="I127" s="547"/>
      <c r="J127" s="547"/>
      <c r="K127" s="547"/>
      <c r="L127" s="547"/>
      <c r="M127" s="547"/>
      <c r="N127" s="547"/>
      <c r="O127" s="547"/>
      <c r="P127" s="547"/>
      <c r="Q127" s="547"/>
      <c r="R127" s="547"/>
      <c r="S127" s="547"/>
      <c r="T127" s="547"/>
      <c r="U127" s="547"/>
      <c r="V127" s="547"/>
      <c r="W127" s="547"/>
      <c r="X127" s="547"/>
    </row>
    <row r="128" spans="1:24" ht="94.5" x14ac:dyDescent="0.25">
      <c r="A128" s="208"/>
      <c r="B128" s="702" t="s">
        <v>470</v>
      </c>
      <c r="C128" s="194"/>
      <c r="D128" s="194"/>
      <c r="E128" s="195"/>
      <c r="F128" s="195"/>
      <c r="G128" s="773"/>
    </row>
    <row r="129" spans="1:24" s="341" customFormat="1" ht="63" x14ac:dyDescent="0.25">
      <c r="A129" s="382"/>
      <c r="B129" s="790" t="s">
        <v>453</v>
      </c>
      <c r="C129" s="105">
        <f>'звіт ІІІ кв'!E48</f>
        <v>12900</v>
      </c>
      <c r="D129" s="105">
        <f>'звіт ІІІ кв'!L48</f>
        <v>1392.5663</v>
      </c>
      <c r="E129" s="105">
        <f>D129-C129</f>
        <v>-11507.4337</v>
      </c>
      <c r="F129" s="706">
        <f>D129/C129*100</f>
        <v>10.795087596899226</v>
      </c>
      <c r="G129" s="773" t="s">
        <v>917</v>
      </c>
      <c r="H129" s="340"/>
      <c r="I129" s="289"/>
      <c r="J129" s="289"/>
      <c r="K129" s="289"/>
      <c r="L129" s="289"/>
      <c r="M129" s="289"/>
      <c r="N129" s="289"/>
      <c r="O129" s="289"/>
      <c r="P129" s="289"/>
      <c r="Q129" s="289"/>
      <c r="R129" s="289"/>
      <c r="S129" s="289"/>
      <c r="T129" s="289"/>
      <c r="U129" s="289"/>
      <c r="V129" s="289"/>
      <c r="W129" s="289"/>
      <c r="X129" s="289"/>
    </row>
    <row r="130" spans="1:24" s="341" customFormat="1" ht="47.25" x14ac:dyDescent="0.25">
      <c r="A130" s="382"/>
      <c r="B130" s="790" t="s">
        <v>918</v>
      </c>
      <c r="C130" s="68">
        <v>700</v>
      </c>
      <c r="D130" s="68">
        <v>971</v>
      </c>
      <c r="E130" s="105">
        <f>D130-C130</f>
        <v>271</v>
      </c>
      <c r="F130" s="706">
        <f>D130/C130*100</f>
        <v>138.71428571428572</v>
      </c>
      <c r="G130" s="701" t="s">
        <v>941</v>
      </c>
      <c r="H130" s="340"/>
      <c r="I130" s="289"/>
      <c r="J130" s="289"/>
      <c r="K130" s="289"/>
      <c r="L130" s="289"/>
      <c r="M130" s="289"/>
      <c r="N130" s="289"/>
      <c r="O130" s="289"/>
      <c r="P130" s="289"/>
      <c r="Q130" s="289"/>
      <c r="R130" s="289"/>
      <c r="S130" s="289"/>
      <c r="T130" s="289"/>
      <c r="U130" s="289"/>
      <c r="V130" s="289"/>
      <c r="W130" s="289"/>
      <c r="X130" s="289"/>
    </row>
    <row r="131" spans="1:24" ht="31.5" x14ac:dyDescent="0.25">
      <c r="A131" s="208"/>
      <c r="B131" s="783" t="s">
        <v>919</v>
      </c>
      <c r="C131" s="705">
        <f>C129/C130</f>
        <v>18.428571428571427</v>
      </c>
      <c r="D131" s="705">
        <f>D129/D130</f>
        <v>1.4341568486096807</v>
      </c>
      <c r="E131" s="757">
        <f>D131-C131</f>
        <v>-16.994414579961745</v>
      </c>
      <c r="F131" s="195">
        <f>D131/C131*100</f>
        <v>7.7822464653238494</v>
      </c>
      <c r="G131" s="701" t="s">
        <v>941</v>
      </c>
    </row>
    <row r="132" spans="1:24" s="548" customFormat="1" ht="47.25" x14ac:dyDescent="0.25">
      <c r="A132" s="208"/>
      <c r="B132" s="783" t="s">
        <v>743</v>
      </c>
      <c r="C132" s="705">
        <v>80</v>
      </c>
      <c r="D132" s="796">
        <f>D130*100/1029</f>
        <v>94.363459669582113</v>
      </c>
      <c r="E132" s="757">
        <f>D132-C132</f>
        <v>14.363459669582113</v>
      </c>
      <c r="F132" s="195">
        <f>D132/C132*100</f>
        <v>117.95432458697763</v>
      </c>
      <c r="G132" s="701" t="s">
        <v>941</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x14ac:dyDescent="0.25">
      <c r="A133" s="208"/>
      <c r="B133" s="747" t="s">
        <v>475</v>
      </c>
      <c r="C133" s="710"/>
      <c r="D133" s="710"/>
      <c r="E133" s="709"/>
      <c r="F133" s="709"/>
      <c r="G133" s="750"/>
      <c r="H133" s="319"/>
      <c r="I133" s="124"/>
      <c r="J133" s="124"/>
      <c r="K133" s="124"/>
      <c r="L133" s="124"/>
      <c r="M133" s="124"/>
      <c r="N133" s="124"/>
      <c r="O133" s="124"/>
      <c r="P133" s="124"/>
      <c r="Q133" s="124"/>
      <c r="R133" s="124"/>
      <c r="S133" s="124"/>
      <c r="T133" s="124"/>
      <c r="U133" s="124"/>
      <c r="V133" s="124"/>
      <c r="W133" s="124"/>
      <c r="X133" s="124"/>
    </row>
    <row r="134" spans="1:24" s="551" customFormat="1" ht="145.5" customHeight="1" x14ac:dyDescent="0.25">
      <c r="A134" s="381"/>
      <c r="B134" s="790" t="s">
        <v>476</v>
      </c>
      <c r="C134" s="712">
        <v>1507</v>
      </c>
      <c r="D134" s="712">
        <v>107</v>
      </c>
      <c r="E134" s="712">
        <f>D134-C134</f>
        <v>-1400</v>
      </c>
      <c r="F134" s="712">
        <f>D134/C134*100</f>
        <v>7.1001990710019909</v>
      </c>
      <c r="G134" s="764" t="s">
        <v>841</v>
      </c>
      <c r="H134" s="565"/>
      <c r="I134" s="550"/>
      <c r="J134" s="550"/>
      <c r="K134" s="550"/>
      <c r="L134" s="550"/>
      <c r="M134" s="550"/>
      <c r="N134" s="550"/>
      <c r="O134" s="550"/>
      <c r="P134" s="550"/>
      <c r="Q134" s="550"/>
      <c r="R134" s="550"/>
      <c r="S134" s="550"/>
      <c r="T134" s="550"/>
      <c r="U134" s="550"/>
      <c r="V134" s="550"/>
      <c r="W134" s="550"/>
      <c r="X134" s="550"/>
    </row>
    <row r="135" spans="1:24" s="551" customFormat="1" ht="47.25" x14ac:dyDescent="0.25">
      <c r="A135" s="383"/>
      <c r="B135" s="790" t="s">
        <v>477</v>
      </c>
      <c r="C135" s="791">
        <v>50</v>
      </c>
      <c r="D135" s="766">
        <f>D134/D117*100</f>
        <v>7.6048329779673063</v>
      </c>
      <c r="E135" s="712">
        <f>D135-C135</f>
        <v>-42.395167022032695</v>
      </c>
      <c r="F135" s="712">
        <f>D135/C135*100</f>
        <v>15.209665955934613</v>
      </c>
      <c r="G135" s="764" t="s">
        <v>849</v>
      </c>
      <c r="H135" s="565"/>
      <c r="I135" s="550"/>
      <c r="J135" s="550"/>
      <c r="K135" s="550"/>
      <c r="L135" s="550"/>
      <c r="M135" s="550"/>
      <c r="N135" s="550"/>
      <c r="O135" s="550"/>
      <c r="P135" s="550"/>
      <c r="Q135" s="550"/>
      <c r="R135" s="550"/>
      <c r="S135" s="550"/>
      <c r="T135" s="550"/>
      <c r="U135" s="550"/>
      <c r="V135" s="550"/>
      <c r="W135" s="550"/>
      <c r="X135" s="550"/>
    </row>
    <row r="136" spans="1:24" ht="25.5" customHeight="1" x14ac:dyDescent="0.25">
      <c r="A136" s="699" t="s">
        <v>329</v>
      </c>
      <c r="B136" s="1136" t="s">
        <v>478</v>
      </c>
      <c r="C136" s="1137"/>
      <c r="D136" s="1137"/>
      <c r="E136" s="1137"/>
      <c r="F136" s="1137"/>
      <c r="G136" s="1138"/>
    </row>
    <row r="137" spans="1:24" s="341" customFormat="1" ht="31.5" x14ac:dyDescent="0.25">
      <c r="A137" s="760"/>
      <c r="B137" s="703" t="s">
        <v>920</v>
      </c>
      <c r="C137" s="105">
        <v>1046.93</v>
      </c>
      <c r="D137" s="785">
        <f>'звіт ІІІ кв'!I50</f>
        <v>217.7</v>
      </c>
      <c r="E137" s="712">
        <f>D137-C137</f>
        <v>-829.23</v>
      </c>
      <c r="F137" s="712">
        <f>D137/C137*100</f>
        <v>20.794131412797416</v>
      </c>
      <c r="G137" s="797"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761"/>
      <c r="B138" s="703" t="s">
        <v>921</v>
      </c>
      <c r="C138" s="68">
        <v>1120</v>
      </c>
      <c r="D138" s="798">
        <v>1407</v>
      </c>
      <c r="E138" s="712">
        <f>D138-C138</f>
        <v>287</v>
      </c>
      <c r="F138" s="712">
        <f>D138/C138*100</f>
        <v>125.62500000000001</v>
      </c>
      <c r="G138" s="764"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761"/>
      <c r="B139" s="703" t="s">
        <v>922</v>
      </c>
      <c r="C139" s="705">
        <f>C137/C138</f>
        <v>0.93475892857142862</v>
      </c>
      <c r="D139" s="799">
        <f>D137/D138</f>
        <v>0.15472636815920396</v>
      </c>
      <c r="E139" s="707">
        <f>D139-C139</f>
        <v>-0.78003256041222468</v>
      </c>
      <c r="F139" s="712">
        <f>D139/C139*100</f>
        <v>16.552542418147194</v>
      </c>
      <c r="G139" s="764"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762"/>
      <c r="B140" s="703" t="s">
        <v>923</v>
      </c>
      <c r="C140" s="68">
        <v>40</v>
      </c>
      <c r="D140" s="800">
        <f>D138/D117*100</f>
        <v>100</v>
      </c>
      <c r="E140" s="801">
        <f>D140-C140</f>
        <v>60</v>
      </c>
      <c r="F140" s="712">
        <f>D140/C140*100</f>
        <v>250</v>
      </c>
      <c r="G140" s="764"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x14ac:dyDescent="0.25">
      <c r="A141" s="382" t="s">
        <v>333</v>
      </c>
      <c r="B141" s="1186" t="s">
        <v>114</v>
      </c>
      <c r="C141" s="1187"/>
      <c r="D141" s="1187"/>
      <c r="E141" s="1187"/>
      <c r="F141" s="1187"/>
      <c r="G141" s="1188"/>
      <c r="H141" s="340"/>
      <c r="I141" s="289"/>
      <c r="J141" s="289"/>
      <c r="K141" s="289"/>
      <c r="L141" s="289"/>
      <c r="M141" s="289"/>
      <c r="N141" s="289"/>
      <c r="O141" s="289"/>
      <c r="P141" s="289"/>
      <c r="Q141" s="289"/>
      <c r="R141" s="289"/>
      <c r="S141" s="289"/>
      <c r="T141" s="289"/>
      <c r="U141" s="289"/>
      <c r="V141" s="289"/>
      <c r="W141" s="289"/>
      <c r="X141" s="289"/>
    </row>
    <row r="142" spans="1:24" s="341" customFormat="1" ht="87" customHeight="1" x14ac:dyDescent="0.25">
      <c r="A142" s="384"/>
      <c r="B142" s="763" t="s">
        <v>517</v>
      </c>
      <c r="C142" s="105">
        <f>'звіт ІІІ кв'!E51</f>
        <v>1179.22</v>
      </c>
      <c r="D142" s="707">
        <f>'звіт ІІІ кв'!I51</f>
        <v>1613.8440000000001</v>
      </c>
      <c r="E142" s="712">
        <f>D142-C142</f>
        <v>434.62400000000002</v>
      </c>
      <c r="F142" s="712">
        <f>D142/C142*100</f>
        <v>136.85690541205204</v>
      </c>
      <c r="G142" s="764" t="s">
        <v>924</v>
      </c>
      <c r="H142" s="340"/>
      <c r="I142" s="289"/>
      <c r="J142" s="289"/>
      <c r="K142" s="289"/>
      <c r="L142" s="289"/>
      <c r="M142" s="289"/>
      <c r="N142" s="289"/>
      <c r="O142" s="289"/>
      <c r="P142" s="289"/>
      <c r="Q142" s="289"/>
      <c r="R142" s="289"/>
      <c r="S142" s="289"/>
      <c r="T142" s="289"/>
      <c r="U142" s="289"/>
      <c r="V142" s="289"/>
      <c r="W142" s="289"/>
      <c r="X142" s="289"/>
    </row>
    <row r="143" spans="1:24" s="341" customFormat="1" ht="78.75" x14ac:dyDescent="0.25">
      <c r="A143" s="381"/>
      <c r="B143" s="763" t="s">
        <v>925</v>
      </c>
      <c r="C143" s="68">
        <v>2800</v>
      </c>
      <c r="D143" s="791">
        <v>1546</v>
      </c>
      <c r="E143" s="712">
        <f>D143-C143</f>
        <v>-1254</v>
      </c>
      <c r="F143" s="712">
        <f>D143/C143*100</f>
        <v>55.214285714285715</v>
      </c>
      <c r="G143" s="764"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x14ac:dyDescent="0.25">
      <c r="A144" s="381"/>
      <c r="B144" s="763" t="s">
        <v>926</v>
      </c>
      <c r="C144" s="705">
        <f>C142/C143</f>
        <v>0.42115000000000002</v>
      </c>
      <c r="D144" s="705">
        <f>D142/D143</f>
        <v>1.0438835705045277</v>
      </c>
      <c r="E144" s="707">
        <f>D144-C144</f>
        <v>0.62273357050452771</v>
      </c>
      <c r="F144" s="712">
        <f>D144/C144*100</f>
        <v>247.86502920682122</v>
      </c>
      <c r="G144" s="764"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x14ac:dyDescent="0.25">
      <c r="A145" s="383"/>
      <c r="B145" s="763" t="s">
        <v>927</v>
      </c>
      <c r="C145" s="68">
        <v>100</v>
      </c>
      <c r="D145" s="791">
        <v>100</v>
      </c>
      <c r="E145" s="712">
        <f>D145-C145</f>
        <v>0</v>
      </c>
      <c r="F145" s="712">
        <f>D145/C145*100</f>
        <v>100</v>
      </c>
      <c r="G145" s="764" t="s">
        <v>703</v>
      </c>
      <c r="H145" s="340"/>
      <c r="I145" s="289"/>
      <c r="J145" s="289"/>
      <c r="K145" s="289"/>
      <c r="L145" s="289"/>
      <c r="M145" s="289"/>
      <c r="N145" s="289"/>
      <c r="O145" s="289"/>
      <c r="P145" s="289"/>
      <c r="Q145" s="289"/>
      <c r="R145" s="289"/>
      <c r="S145" s="289"/>
      <c r="T145" s="289"/>
      <c r="U145" s="289"/>
      <c r="V145" s="289"/>
      <c r="W145" s="289"/>
      <c r="X145" s="289"/>
    </row>
    <row r="146" spans="1:24" ht="21" customHeight="1" x14ac:dyDescent="0.25">
      <c r="A146" s="208" t="s">
        <v>339</v>
      </c>
      <c r="B146" s="1136" t="s">
        <v>486</v>
      </c>
      <c r="C146" s="1137"/>
      <c r="D146" s="1137"/>
      <c r="E146" s="1137"/>
      <c r="F146" s="1137"/>
      <c r="G146" s="1138"/>
    </row>
    <row r="147" spans="1:24" s="341" customFormat="1" ht="63" x14ac:dyDescent="0.25">
      <c r="A147" s="384"/>
      <c r="B147" s="763" t="s">
        <v>517</v>
      </c>
      <c r="C147" s="105">
        <f>'звіт ІІІ кв'!E57</f>
        <v>3945.4290000000001</v>
      </c>
      <c r="D147" s="707">
        <f>'звіт ІІІ кв'!I57</f>
        <v>1793.4250000000002</v>
      </c>
      <c r="E147" s="712">
        <f>D147-C147</f>
        <v>-2152.0039999999999</v>
      </c>
      <c r="F147" s="712">
        <f>D147/C147*100</f>
        <v>45.455766660609029</v>
      </c>
      <c r="G147" s="764" t="s">
        <v>928</v>
      </c>
      <c r="H147" s="389"/>
      <c r="I147" s="390"/>
      <c r="J147" s="390"/>
      <c r="K147" s="390"/>
      <c r="L147" s="390"/>
      <c r="M147" s="390"/>
      <c r="N147" s="390"/>
      <c r="O147" s="390"/>
      <c r="P147" s="390"/>
      <c r="Q147" s="390"/>
      <c r="R147" s="390"/>
      <c r="S147" s="390"/>
      <c r="T147" s="390"/>
      <c r="U147" s="390"/>
      <c r="V147" s="390"/>
      <c r="W147" s="390"/>
      <c r="X147" s="390"/>
    </row>
    <row r="148" spans="1:24" s="350" customFormat="1" x14ac:dyDescent="0.25">
      <c r="A148" s="382"/>
      <c r="B148" s="802"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x14ac:dyDescent="0.25">
      <c r="A149" s="381"/>
      <c r="B149" s="703" t="s">
        <v>488</v>
      </c>
      <c r="C149" s="68">
        <v>2000</v>
      </c>
      <c r="D149" s="791">
        <v>1698</v>
      </c>
      <c r="E149" s="712">
        <f t="shared" ref="E149:E159" si="6">D149-C149</f>
        <v>-302</v>
      </c>
      <c r="F149" s="712">
        <f t="shared" ref="F149:F159" si="7">D149/C149*100</f>
        <v>84.899999999999991</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x14ac:dyDescent="0.25">
      <c r="A150" s="382"/>
      <c r="B150" s="803" t="s">
        <v>125</v>
      </c>
      <c r="C150" s="718"/>
      <c r="D150" s="718"/>
      <c r="E150" s="712"/>
      <c r="F150" s="71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x14ac:dyDescent="0.25">
      <c r="A151" s="381"/>
      <c r="B151" s="703" t="s">
        <v>489</v>
      </c>
      <c r="C151" s="68">
        <v>1000</v>
      </c>
      <c r="D151" s="791">
        <v>1656</v>
      </c>
      <c r="E151" s="712">
        <f t="shared" si="6"/>
        <v>656</v>
      </c>
      <c r="F151" s="712">
        <f t="shared" si="7"/>
        <v>165.6</v>
      </c>
      <c r="G151" s="764" t="s">
        <v>791</v>
      </c>
      <c r="H151" s="389"/>
      <c r="I151" s="390"/>
      <c r="J151" s="390"/>
      <c r="K151" s="390"/>
      <c r="L151" s="390"/>
      <c r="M151" s="390"/>
      <c r="N151" s="390"/>
      <c r="O151" s="390"/>
      <c r="P151" s="390"/>
      <c r="Q151" s="390"/>
      <c r="R151" s="390"/>
      <c r="S151" s="390"/>
      <c r="T151" s="390"/>
      <c r="U151" s="390"/>
      <c r="V151" s="390"/>
      <c r="W151" s="390"/>
      <c r="X151" s="390"/>
    </row>
    <row r="152" spans="1:24" s="350" customFormat="1" x14ac:dyDescent="0.25">
      <c r="A152" s="382"/>
      <c r="B152" s="803" t="s">
        <v>126</v>
      </c>
      <c r="C152" s="718"/>
      <c r="D152" s="718"/>
      <c r="E152" s="712"/>
      <c r="F152" s="712"/>
      <c r="G152" s="719"/>
      <c r="H152" s="571"/>
      <c r="I152" s="572"/>
      <c r="J152" s="572"/>
      <c r="K152" s="572"/>
      <c r="L152" s="572"/>
      <c r="M152" s="572"/>
      <c r="N152" s="572"/>
      <c r="O152" s="572"/>
      <c r="P152" s="572"/>
      <c r="Q152" s="572"/>
      <c r="R152" s="572"/>
      <c r="S152" s="572"/>
      <c r="T152" s="572"/>
      <c r="U152" s="572"/>
      <c r="V152" s="572"/>
      <c r="W152" s="572"/>
      <c r="X152" s="572"/>
    </row>
    <row r="153" spans="1:24" s="341" customFormat="1" ht="47.25" x14ac:dyDescent="0.25">
      <c r="A153" s="381"/>
      <c r="B153" s="703" t="s">
        <v>490</v>
      </c>
      <c r="C153" s="68">
        <v>75</v>
      </c>
      <c r="D153" s="791">
        <v>315</v>
      </c>
      <c r="E153" s="801">
        <f t="shared" si="6"/>
        <v>240</v>
      </c>
      <c r="F153" s="712">
        <f t="shared" si="7"/>
        <v>420</v>
      </c>
      <c r="G153" s="764" t="s">
        <v>603</v>
      </c>
      <c r="H153" s="389"/>
      <c r="I153" s="390"/>
      <c r="J153" s="390"/>
      <c r="K153" s="390"/>
      <c r="L153" s="390"/>
      <c r="M153" s="390"/>
      <c r="N153" s="390"/>
      <c r="O153" s="390"/>
      <c r="P153" s="390"/>
      <c r="Q153" s="390"/>
      <c r="R153" s="390"/>
      <c r="S153" s="390"/>
      <c r="T153" s="390"/>
      <c r="U153" s="390"/>
      <c r="V153" s="390"/>
      <c r="W153" s="390"/>
      <c r="X153" s="390"/>
    </row>
    <row r="154" spans="1:24" s="350" customFormat="1" x14ac:dyDescent="0.25">
      <c r="A154" s="382"/>
      <c r="B154" s="803" t="s">
        <v>127</v>
      </c>
      <c r="C154" s="718"/>
      <c r="D154" s="718"/>
      <c r="E154" s="712"/>
      <c r="F154" s="712"/>
      <c r="G154" s="719"/>
      <c r="H154" s="571"/>
      <c r="I154" s="572"/>
      <c r="J154" s="572"/>
      <c r="K154" s="572"/>
      <c r="L154" s="572"/>
      <c r="M154" s="572"/>
      <c r="N154" s="572"/>
      <c r="O154" s="572"/>
      <c r="P154" s="572"/>
      <c r="Q154" s="572"/>
      <c r="R154" s="572"/>
      <c r="S154" s="572"/>
      <c r="T154" s="572"/>
      <c r="U154" s="572"/>
      <c r="V154" s="572"/>
      <c r="W154" s="572"/>
      <c r="X154" s="572"/>
    </row>
    <row r="155" spans="1:24" s="341" customFormat="1" ht="47.25" x14ac:dyDescent="0.25">
      <c r="A155" s="381"/>
      <c r="B155" s="703" t="s">
        <v>491</v>
      </c>
      <c r="C155" s="68">
        <v>75</v>
      </c>
      <c r="D155" s="791">
        <v>224</v>
      </c>
      <c r="E155" s="712">
        <f t="shared" si="6"/>
        <v>149</v>
      </c>
      <c r="F155" s="712">
        <f t="shared" si="7"/>
        <v>298.66666666666669</v>
      </c>
      <c r="G155" s="764" t="s">
        <v>603</v>
      </c>
      <c r="H155" s="389"/>
      <c r="I155" s="390"/>
      <c r="J155" s="390"/>
      <c r="K155" s="390"/>
      <c r="L155" s="390"/>
      <c r="M155" s="390"/>
      <c r="N155" s="390"/>
      <c r="O155" s="390"/>
      <c r="P155" s="390"/>
      <c r="Q155" s="390"/>
      <c r="R155" s="390"/>
      <c r="S155" s="390"/>
      <c r="T155" s="390"/>
      <c r="U155" s="390"/>
      <c r="V155" s="390"/>
      <c r="W155" s="390"/>
      <c r="X155" s="390"/>
    </row>
    <row r="156" spans="1:24" s="290" customFormat="1" x14ac:dyDescent="0.25">
      <c r="A156" s="573"/>
      <c r="B156" s="802"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x14ac:dyDescent="0.25">
      <c r="A157" s="381"/>
      <c r="B157" s="767" t="s">
        <v>929</v>
      </c>
      <c r="C157" s="68">
        <v>432</v>
      </c>
      <c r="D157" s="791">
        <v>3386</v>
      </c>
      <c r="E157" s="801">
        <f t="shared" si="6"/>
        <v>2954</v>
      </c>
      <c r="F157" s="712">
        <f t="shared" si="7"/>
        <v>783.7962962962963</v>
      </c>
      <c r="G157" s="704" t="s">
        <v>719</v>
      </c>
      <c r="H157" s="340"/>
      <c r="I157" s="289"/>
      <c r="J157" s="289"/>
      <c r="K157" s="289"/>
      <c r="L157" s="289"/>
      <c r="M157" s="289"/>
      <c r="N157" s="289"/>
      <c r="O157" s="289"/>
      <c r="P157" s="289"/>
      <c r="Q157" s="289"/>
      <c r="R157" s="289"/>
      <c r="S157" s="289"/>
      <c r="T157" s="289"/>
      <c r="U157" s="289"/>
      <c r="V157" s="289"/>
      <c r="W157" s="289"/>
      <c r="X157" s="289"/>
    </row>
    <row r="158" spans="1:24" ht="47.25" x14ac:dyDescent="0.25">
      <c r="A158" s="209"/>
      <c r="B158" s="771" t="s">
        <v>930</v>
      </c>
      <c r="C158" s="705">
        <v>0.2</v>
      </c>
      <c r="D158" s="765">
        <f>D147/(D149+D151+D153+D155+D157)</f>
        <v>0.24638343179008107</v>
      </c>
      <c r="E158" s="772">
        <f t="shared" si="6"/>
        <v>4.6383431790081059E-2</v>
      </c>
      <c r="F158" s="121">
        <f t="shared" si="7"/>
        <v>123.19171589504052</v>
      </c>
      <c r="G158" s="704" t="s">
        <v>787</v>
      </c>
    </row>
    <row r="159" spans="1:24" s="548" customFormat="1" ht="63" x14ac:dyDescent="0.25">
      <c r="A159" s="210"/>
      <c r="B159" s="771" t="s">
        <v>721</v>
      </c>
      <c r="C159" s="705">
        <v>55</v>
      </c>
      <c r="D159" s="765">
        <f>1562/(D149+D151+D153+D155+D157)*100</f>
        <v>21.458991619727986</v>
      </c>
      <c r="E159" s="778">
        <f t="shared" si="6"/>
        <v>-33.541008380272018</v>
      </c>
      <c r="F159" s="780">
        <f t="shared" si="7"/>
        <v>39.016348399505432</v>
      </c>
      <c r="G159" s="704" t="s">
        <v>859</v>
      </c>
      <c r="H159" s="546"/>
      <c r="I159" s="547"/>
      <c r="J159" s="547"/>
      <c r="K159" s="547"/>
      <c r="L159" s="547"/>
      <c r="M159" s="547"/>
      <c r="N159" s="547"/>
      <c r="O159" s="547"/>
      <c r="P159" s="547"/>
      <c r="Q159" s="547"/>
      <c r="R159" s="547"/>
      <c r="S159" s="547"/>
      <c r="T159" s="547"/>
      <c r="U159" s="547"/>
      <c r="V159" s="547"/>
      <c r="W159" s="547"/>
      <c r="X159" s="547"/>
    </row>
    <row r="160" spans="1:24" ht="36.75" customHeight="1" x14ac:dyDescent="0.25">
      <c r="A160" s="212" t="s">
        <v>343</v>
      </c>
      <c r="B160" s="1136" t="s">
        <v>495</v>
      </c>
      <c r="C160" s="1137"/>
      <c r="D160" s="1137"/>
      <c r="E160" s="1137"/>
      <c r="F160" s="1137"/>
      <c r="G160" s="1138"/>
    </row>
    <row r="161" spans="1:24" s="341" customFormat="1" x14ac:dyDescent="0.25">
      <c r="A161" s="384"/>
      <c r="B161" s="446" t="s">
        <v>517</v>
      </c>
      <c r="C161" s="330">
        <f>'звіт ІІІ кв'!E63</f>
        <v>237.5</v>
      </c>
      <c r="D161" s="391">
        <f>'звіт ІІІ кв'!I63</f>
        <v>0</v>
      </c>
      <c r="E161" s="346">
        <f>D161-C161</f>
        <v>-237.5</v>
      </c>
      <c r="F161" s="332">
        <f>D161/C161*100</f>
        <v>0</v>
      </c>
      <c r="G161" s="443" t="s">
        <v>792</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774" t="s">
        <v>931</v>
      </c>
      <c r="C162" s="68">
        <v>40</v>
      </c>
      <c r="D162" s="791">
        <v>27</v>
      </c>
      <c r="E162" s="121">
        <f>D162-C162</f>
        <v>-13</v>
      </c>
      <c r="F162" s="121">
        <f>D162/C162*100</f>
        <v>67.5</v>
      </c>
      <c r="G162" s="773" t="s">
        <v>661</v>
      </c>
    </row>
    <row r="163" spans="1:24" ht="31.5" x14ac:dyDescent="0.25">
      <c r="A163" s="209"/>
      <c r="B163" s="774" t="s">
        <v>932</v>
      </c>
      <c r="C163" s="705">
        <f>C161/C162</f>
        <v>5.9375</v>
      </c>
      <c r="D163" s="765">
        <f>D161/D162</f>
        <v>0</v>
      </c>
      <c r="E163" s="772">
        <f>D163-C163</f>
        <v>-5.9375</v>
      </c>
      <c r="F163" s="121">
        <f>D163/C163*100</f>
        <v>0</v>
      </c>
      <c r="G163" s="764" t="s">
        <v>793</v>
      </c>
    </row>
    <row r="164" spans="1:24" ht="84" customHeight="1" x14ac:dyDescent="0.25">
      <c r="A164" s="210"/>
      <c r="B164" s="774" t="s">
        <v>933</v>
      </c>
      <c r="C164" s="68">
        <v>95</v>
      </c>
      <c r="D164" s="766">
        <f>D162/31*100</f>
        <v>87.096774193548384</v>
      </c>
      <c r="E164" s="121">
        <f>D164-C164</f>
        <v>-7.9032258064516157</v>
      </c>
      <c r="F164" s="121">
        <f>D164/C164*100</f>
        <v>91.68081494057725</v>
      </c>
      <c r="G164" s="773" t="s">
        <v>661</v>
      </c>
    </row>
    <row r="165" spans="1:24" s="341" customFormat="1" x14ac:dyDescent="0.25">
      <c r="A165" s="586" t="s">
        <v>132</v>
      </c>
      <c r="B165" s="1220" t="s">
        <v>131</v>
      </c>
      <c r="C165" s="1221"/>
      <c r="D165" s="1221"/>
      <c r="E165" s="1218"/>
      <c r="F165" s="1218"/>
      <c r="G165" s="1219"/>
      <c r="H165" s="340"/>
      <c r="I165" s="289"/>
      <c r="J165" s="289"/>
      <c r="K165" s="289"/>
      <c r="L165" s="289"/>
      <c r="M165" s="289"/>
      <c r="N165" s="289"/>
      <c r="O165" s="289"/>
      <c r="P165" s="289"/>
      <c r="Q165" s="289"/>
      <c r="R165" s="289"/>
      <c r="S165" s="289"/>
      <c r="T165" s="289"/>
      <c r="U165" s="289"/>
      <c r="V165" s="289"/>
      <c r="W165" s="289"/>
      <c r="X165" s="289"/>
    </row>
    <row r="166" spans="1:24" s="149" customFormat="1" x14ac:dyDescent="0.25">
      <c r="A166" s="212" t="s">
        <v>135</v>
      </c>
      <c r="B166" s="1136" t="s">
        <v>499</v>
      </c>
      <c r="C166" s="1137"/>
      <c r="D166" s="1137"/>
      <c r="E166" s="1137"/>
      <c r="F166" s="1137"/>
      <c r="G166" s="1138"/>
      <c r="H166" s="319"/>
      <c r="I166" s="124"/>
      <c r="J166" s="124"/>
      <c r="K166" s="124"/>
      <c r="L166" s="124"/>
      <c r="M166" s="124"/>
      <c r="N166" s="124"/>
      <c r="O166" s="124"/>
      <c r="P166" s="124"/>
      <c r="Q166" s="124"/>
      <c r="R166" s="124"/>
      <c r="S166" s="124"/>
      <c r="T166" s="124"/>
      <c r="U166" s="124"/>
      <c r="V166" s="124"/>
      <c r="W166" s="124"/>
      <c r="X166" s="124"/>
    </row>
    <row r="167" spans="1:24" s="350" customFormat="1" ht="141.75" x14ac:dyDescent="0.25">
      <c r="A167" s="392"/>
      <c r="B167" s="767" t="s">
        <v>196</v>
      </c>
      <c r="C167" s="105">
        <f>'звіт ІІІ кв'!E66</f>
        <v>188433.41999999998</v>
      </c>
      <c r="D167" s="105">
        <f>'звіт ІІІ кв'!I65</f>
        <v>42576.46</v>
      </c>
      <c r="E167" s="105">
        <f>D167-C167</f>
        <v>-145856.95999999999</v>
      </c>
      <c r="F167" s="706">
        <f>D167/C167*100</f>
        <v>22.594962188766729</v>
      </c>
      <c r="G167" s="325" t="s">
        <v>934</v>
      </c>
      <c r="H167" s="576"/>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702" t="s">
        <v>500</v>
      </c>
      <c r="C168" s="710"/>
      <c r="D168" s="710"/>
      <c r="E168" s="757"/>
      <c r="F168" s="194"/>
      <c r="G168" s="714"/>
      <c r="H168" s="319"/>
      <c r="I168" s="124"/>
      <c r="J168" s="124"/>
      <c r="K168" s="124"/>
      <c r="L168" s="124"/>
      <c r="M168" s="124"/>
      <c r="N168" s="124"/>
      <c r="O168" s="124"/>
      <c r="P168" s="124"/>
      <c r="Q168" s="124"/>
      <c r="R168" s="124"/>
      <c r="S168" s="124"/>
      <c r="T168" s="124"/>
      <c r="U168" s="124"/>
      <c r="V168" s="124"/>
      <c r="W168" s="124"/>
      <c r="X168" s="124"/>
    </row>
    <row r="169" spans="1:24" s="341" customFormat="1" ht="31.5" x14ac:dyDescent="0.25">
      <c r="A169" s="381"/>
      <c r="B169" s="767" t="s">
        <v>501</v>
      </c>
      <c r="C169" s="712">
        <v>15704</v>
      </c>
      <c r="D169" s="712">
        <v>9370</v>
      </c>
      <c r="E169" s="804">
        <f>D169-C169</f>
        <v>-6334</v>
      </c>
      <c r="F169" s="706">
        <f t="shared" ref="F169:F177" si="8">D169/C169*100</f>
        <v>59.666327050433011</v>
      </c>
      <c r="G169" s="704" t="s">
        <v>832</v>
      </c>
      <c r="H169" s="340"/>
      <c r="I169" s="289"/>
      <c r="J169" s="289"/>
      <c r="K169" s="289"/>
      <c r="L169" s="289"/>
      <c r="M169" s="289"/>
      <c r="N169" s="289"/>
      <c r="O169" s="289"/>
      <c r="P169" s="289"/>
      <c r="Q169" s="289"/>
      <c r="R169" s="289"/>
      <c r="S169" s="289"/>
      <c r="T169" s="289"/>
      <c r="U169" s="289"/>
      <c r="V169" s="289"/>
      <c r="W169" s="289"/>
      <c r="X169" s="289"/>
    </row>
    <row r="170" spans="1:24" s="551" customFormat="1" ht="63" x14ac:dyDescent="0.25">
      <c r="A170" s="381"/>
      <c r="B170" s="767" t="s">
        <v>502</v>
      </c>
      <c r="C170" s="712">
        <v>3000</v>
      </c>
      <c r="D170" s="712">
        <v>1685</v>
      </c>
      <c r="E170" s="105">
        <f>D170-C170</f>
        <v>-1315</v>
      </c>
      <c r="F170" s="706">
        <f t="shared" si="8"/>
        <v>56.166666666666664</v>
      </c>
      <c r="G170" s="704"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x14ac:dyDescent="0.25">
      <c r="A171" s="381"/>
      <c r="B171" s="767" t="s">
        <v>222</v>
      </c>
      <c r="C171" s="707">
        <f>C167/C169</f>
        <v>11.999071574121242</v>
      </c>
      <c r="D171" s="707">
        <f>D167/D169</f>
        <v>4.5439124866595515</v>
      </c>
      <c r="E171" s="105">
        <f>D171-C171</f>
        <v>-7.4551590874616904</v>
      </c>
      <c r="F171" s="706">
        <f t="shared" si="8"/>
        <v>37.868867258526436</v>
      </c>
      <c r="G171" s="704" t="s">
        <v>796</v>
      </c>
      <c r="H171" s="340"/>
      <c r="I171" s="289"/>
      <c r="J171" s="289"/>
      <c r="K171" s="289"/>
      <c r="L171" s="289"/>
      <c r="M171" s="289"/>
      <c r="N171" s="289"/>
      <c r="O171" s="289"/>
      <c r="P171" s="289"/>
      <c r="Q171" s="289"/>
      <c r="R171" s="289"/>
      <c r="S171" s="289"/>
      <c r="T171" s="289"/>
      <c r="U171" s="289"/>
      <c r="V171" s="289"/>
      <c r="W171" s="289"/>
      <c r="X171" s="289"/>
    </row>
    <row r="172" spans="1:24" s="341" customFormat="1" ht="63" x14ac:dyDescent="0.25">
      <c r="A172" s="381"/>
      <c r="B172" s="767" t="s">
        <v>503</v>
      </c>
      <c r="C172" s="707">
        <v>88</v>
      </c>
      <c r="D172" s="707">
        <f>D169/13516*100</f>
        <v>69.325244155075467</v>
      </c>
      <c r="E172" s="105">
        <f>D172-C172</f>
        <v>-18.674755844924533</v>
      </c>
      <c r="F172" s="706">
        <f t="shared" si="8"/>
        <v>78.778686539858484</v>
      </c>
      <c r="G172" s="704" t="s">
        <v>798</v>
      </c>
      <c r="H172" s="340"/>
      <c r="I172" s="289"/>
      <c r="J172" s="289"/>
      <c r="K172" s="289"/>
      <c r="L172" s="289"/>
      <c r="M172" s="289"/>
      <c r="N172" s="289"/>
      <c r="O172" s="289"/>
      <c r="P172" s="289"/>
      <c r="Q172" s="289"/>
      <c r="R172" s="289"/>
      <c r="S172" s="289"/>
      <c r="T172" s="289"/>
      <c r="U172" s="289"/>
      <c r="V172" s="289"/>
      <c r="W172" s="289"/>
      <c r="X172" s="289"/>
    </row>
    <row r="173" spans="1:24" ht="47.25" x14ac:dyDescent="0.25">
      <c r="A173" s="138"/>
      <c r="B173" s="702" t="s">
        <v>504</v>
      </c>
      <c r="C173" s="710"/>
      <c r="D173" s="710"/>
      <c r="E173" s="757"/>
      <c r="F173" s="194"/>
      <c r="G173" s="714"/>
    </row>
    <row r="174" spans="1:24" s="548" customFormat="1" ht="63" x14ac:dyDescent="0.25">
      <c r="A174" s="209"/>
      <c r="B174" s="771" t="s">
        <v>505</v>
      </c>
      <c r="C174" s="712">
        <v>2000</v>
      </c>
      <c r="D174" s="712">
        <v>26</v>
      </c>
      <c r="E174" s="805">
        <f>D174-C174</f>
        <v>-1974</v>
      </c>
      <c r="F174" s="194">
        <f t="shared" si="8"/>
        <v>1.3</v>
      </c>
      <c r="G174" s="701"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x14ac:dyDescent="0.25">
      <c r="A175" s="209"/>
      <c r="B175" s="771" t="s">
        <v>506</v>
      </c>
      <c r="C175" s="770">
        <v>60</v>
      </c>
      <c r="D175" s="765">
        <f>D174*100/26</f>
        <v>100</v>
      </c>
      <c r="E175" s="700">
        <f>D175-C175</f>
        <v>40</v>
      </c>
      <c r="F175" s="700">
        <f t="shared" si="8"/>
        <v>166.66666666666669</v>
      </c>
      <c r="G175" s="701" t="s">
        <v>800</v>
      </c>
      <c r="H175" s="546"/>
      <c r="I175" s="547"/>
      <c r="J175" s="547"/>
      <c r="K175" s="547"/>
      <c r="L175" s="547"/>
      <c r="M175" s="547"/>
      <c r="N175" s="547"/>
      <c r="O175" s="547"/>
      <c r="P175" s="547"/>
      <c r="Q175" s="547"/>
      <c r="R175" s="547"/>
      <c r="S175" s="547"/>
      <c r="T175" s="547"/>
      <c r="U175" s="547"/>
      <c r="V175" s="547"/>
      <c r="W175" s="547"/>
      <c r="X175" s="547"/>
    </row>
    <row r="176" spans="1:24" ht="31.5" x14ac:dyDescent="0.25">
      <c r="A176" s="138"/>
      <c r="B176" s="702" t="s">
        <v>507</v>
      </c>
      <c r="C176" s="712"/>
      <c r="D176" s="712"/>
      <c r="E176" s="757"/>
      <c r="F176" s="194"/>
      <c r="G176" s="701"/>
    </row>
    <row r="177" spans="1:24" s="548" customFormat="1" ht="78.75" x14ac:dyDescent="0.25">
      <c r="A177" s="209"/>
      <c r="B177" s="771" t="s">
        <v>508</v>
      </c>
      <c r="C177" s="712">
        <v>9666</v>
      </c>
      <c r="D177" s="712">
        <v>1554</v>
      </c>
      <c r="E177" s="804">
        <f>D177-C177</f>
        <v>-8112</v>
      </c>
      <c r="F177" s="706">
        <f t="shared" si="8"/>
        <v>16.076970825574179</v>
      </c>
      <c r="G177" s="701" t="s">
        <v>833</v>
      </c>
      <c r="H177" s="546"/>
      <c r="I177" s="547"/>
      <c r="J177" s="547"/>
      <c r="K177" s="547"/>
      <c r="L177" s="547"/>
      <c r="M177" s="547"/>
      <c r="N177" s="547"/>
      <c r="O177" s="547"/>
      <c r="P177" s="547"/>
      <c r="Q177" s="547"/>
      <c r="R177" s="547"/>
      <c r="S177" s="547"/>
      <c r="T177" s="547"/>
      <c r="U177" s="547"/>
      <c r="V177" s="547"/>
      <c r="W177" s="547"/>
      <c r="X177" s="547"/>
    </row>
    <row r="178" spans="1:24" s="548" customFormat="1" ht="47.25" x14ac:dyDescent="0.25">
      <c r="A178" s="209"/>
      <c r="B178" s="713" t="s">
        <v>509</v>
      </c>
      <c r="C178" s="716">
        <v>54</v>
      </c>
      <c r="D178" s="716">
        <f>D177*100/D169</f>
        <v>16.584845250800427</v>
      </c>
      <c r="E178" s="105">
        <f>D178-C178</f>
        <v>-37.415154749199573</v>
      </c>
      <c r="F178" s="706">
        <f>D178/C178*100</f>
        <v>30.712676390371165</v>
      </c>
      <c r="G178" s="806" t="s">
        <v>834</v>
      </c>
      <c r="H178" s="546"/>
      <c r="I178" s="547"/>
      <c r="J178" s="547"/>
      <c r="K178" s="547"/>
      <c r="L178" s="547"/>
      <c r="M178" s="547"/>
      <c r="N178" s="547"/>
      <c r="O178" s="547"/>
      <c r="P178" s="547"/>
      <c r="Q178" s="547"/>
      <c r="R178" s="547"/>
      <c r="S178" s="547"/>
      <c r="T178" s="547"/>
      <c r="U178" s="547"/>
      <c r="V178" s="547"/>
      <c r="W178" s="547"/>
      <c r="X178" s="547"/>
    </row>
    <row r="179" spans="1:24" ht="31.5" customHeight="1" x14ac:dyDescent="0.25">
      <c r="A179" s="225" t="s">
        <v>362</v>
      </c>
      <c r="B179" s="1136" t="s">
        <v>587</v>
      </c>
      <c r="C179" s="1137"/>
      <c r="D179" s="1137"/>
      <c r="E179" s="1137"/>
      <c r="F179" s="1137"/>
      <c r="G179" s="1138"/>
    </row>
    <row r="180" spans="1:24" ht="19.5" hidden="1" customHeight="1" x14ac:dyDescent="0.25">
      <c r="A180" s="137"/>
      <c r="B180" s="750" t="s">
        <v>588</v>
      </c>
      <c r="C180" s="292"/>
      <c r="D180" s="292"/>
      <c r="E180" s="750"/>
      <c r="F180" s="750"/>
      <c r="G180" s="750"/>
    </row>
    <row r="181" spans="1:24" hidden="1" x14ac:dyDescent="0.25">
      <c r="A181" s="138"/>
      <c r="B181" s="285" t="s">
        <v>590</v>
      </c>
      <c r="C181" s="334">
        <v>0</v>
      </c>
      <c r="D181" s="328">
        <v>0</v>
      </c>
      <c r="E181" s="756">
        <v>0</v>
      </c>
      <c r="F181" s="754">
        <v>0</v>
      </c>
      <c r="G181" s="452"/>
    </row>
    <row r="182" spans="1:24" ht="31.5" hidden="1" x14ac:dyDescent="0.25">
      <c r="A182" s="138"/>
      <c r="B182" s="285" t="s">
        <v>591</v>
      </c>
      <c r="C182" s="328">
        <v>0</v>
      </c>
      <c r="D182" s="328"/>
      <c r="E182" s="756"/>
      <c r="F182" s="754"/>
      <c r="G182" s="452"/>
    </row>
    <row r="183" spans="1:24" ht="31.5" hidden="1" x14ac:dyDescent="0.25">
      <c r="A183" s="138"/>
      <c r="B183" s="285" t="s">
        <v>592</v>
      </c>
      <c r="C183" s="334">
        <v>0</v>
      </c>
      <c r="D183" s="328"/>
      <c r="E183" s="756"/>
      <c r="F183" s="754"/>
      <c r="G183" s="452"/>
    </row>
    <row r="184" spans="1:24" ht="31.5" hidden="1" x14ac:dyDescent="0.25">
      <c r="A184" s="138"/>
      <c r="B184" s="285" t="s">
        <v>593</v>
      </c>
      <c r="C184" s="328">
        <v>0</v>
      </c>
      <c r="D184" s="328"/>
      <c r="E184" s="756"/>
      <c r="F184" s="754"/>
      <c r="G184" s="452"/>
    </row>
    <row r="185" spans="1:24" s="548" customFormat="1" ht="42" customHeight="1" x14ac:dyDescent="0.25">
      <c r="A185" s="209"/>
      <c r="B185" s="752" t="s">
        <v>589</v>
      </c>
      <c r="C185" s="328"/>
      <c r="D185" s="328"/>
      <c r="E185" s="756"/>
      <c r="F185" s="754"/>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x14ac:dyDescent="0.25">
      <c r="A186" s="209"/>
      <c r="B186" s="285" t="s">
        <v>594</v>
      </c>
      <c r="C186" s="716">
        <f>'звіт ІІІ кв'!E71</f>
        <v>300</v>
      </c>
      <c r="D186" s="716">
        <f>'звіт ІІІ кв'!L71</f>
        <v>0</v>
      </c>
      <c r="E186" s="757">
        <f>D186-C186</f>
        <v>-300</v>
      </c>
      <c r="F186" s="194">
        <f>D186/C186*100</f>
        <v>0</v>
      </c>
      <c r="G186" s="773"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x14ac:dyDescent="0.25">
      <c r="A187" s="209"/>
      <c r="B187" s="285" t="s">
        <v>595</v>
      </c>
      <c r="C187" s="807">
        <v>10</v>
      </c>
      <c r="D187" s="807">
        <v>0</v>
      </c>
      <c r="E187" s="805">
        <f>D187-C187</f>
        <v>-10</v>
      </c>
      <c r="F187" s="194">
        <f>D187/C187*100</f>
        <v>0</v>
      </c>
      <c r="G187" s="773"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x14ac:dyDescent="0.25">
      <c r="A188" s="209"/>
      <c r="B188" s="285" t="s">
        <v>596</v>
      </c>
      <c r="C188" s="716">
        <f>C186/C187</f>
        <v>30</v>
      </c>
      <c r="D188" s="716">
        <v>0</v>
      </c>
      <c r="E188" s="757">
        <f>D188-C188</f>
        <v>-30</v>
      </c>
      <c r="F188" s="194">
        <f>D188/C188*100</f>
        <v>0</v>
      </c>
      <c r="G188" s="773"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x14ac:dyDescent="0.25">
      <c r="A189" s="209"/>
      <c r="B189" s="285" t="s">
        <v>597</v>
      </c>
      <c r="C189" s="807">
        <v>100</v>
      </c>
      <c r="D189" s="807">
        <v>0</v>
      </c>
      <c r="E189" s="805">
        <f>D189-C189</f>
        <v>-100</v>
      </c>
      <c r="F189" s="194">
        <f>D189/C189*100</f>
        <v>0</v>
      </c>
      <c r="G189" s="773" t="s">
        <v>804</v>
      </c>
      <c r="H189" s="546"/>
      <c r="I189" s="547"/>
      <c r="J189" s="547"/>
      <c r="K189" s="547"/>
      <c r="L189" s="547"/>
      <c r="M189" s="547"/>
      <c r="N189" s="547"/>
      <c r="O189" s="547"/>
      <c r="P189" s="547"/>
      <c r="Q189" s="547"/>
      <c r="R189" s="547"/>
      <c r="S189" s="547"/>
      <c r="T189" s="547"/>
      <c r="U189" s="547"/>
      <c r="V189" s="547"/>
      <c r="W189" s="547"/>
      <c r="X189" s="547"/>
    </row>
    <row r="190" spans="1:24" ht="33" customHeight="1" x14ac:dyDescent="0.25">
      <c r="A190" s="225" t="s">
        <v>367</v>
      </c>
      <c r="B190" s="1136" t="s">
        <v>510</v>
      </c>
      <c r="C190" s="1137"/>
      <c r="D190" s="1137"/>
      <c r="E190" s="1137"/>
      <c r="F190" s="1137"/>
      <c r="G190" s="1138"/>
    </row>
    <row r="191" spans="1:24" s="341" customFormat="1" ht="31.5" x14ac:dyDescent="0.25">
      <c r="A191" s="393"/>
      <c r="B191" s="808" t="s">
        <v>516</v>
      </c>
      <c r="C191" s="716">
        <f>'звіт ІІІ кв'!E72</f>
        <v>420</v>
      </c>
      <c r="D191" s="716">
        <f>'звіт ІІІ кв'!K72</f>
        <v>0</v>
      </c>
      <c r="E191" s="809">
        <f>D191-C191</f>
        <v>-420</v>
      </c>
      <c r="F191" s="807">
        <f>D191/C191*100</f>
        <v>0</v>
      </c>
      <c r="G191" s="806"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810" t="s">
        <v>511</v>
      </c>
      <c r="C192" s="807">
        <v>15</v>
      </c>
      <c r="D192" s="807">
        <v>12</v>
      </c>
      <c r="E192" s="811">
        <f>D192-C192</f>
        <v>-3</v>
      </c>
      <c r="F192" s="811">
        <f>D192/C192*100</f>
        <v>80</v>
      </c>
      <c r="G192" s="701" t="s">
        <v>805</v>
      </c>
    </row>
    <row r="193" spans="1:24" ht="47.25" x14ac:dyDescent="0.25">
      <c r="A193" s="138"/>
      <c r="B193" s="810" t="s">
        <v>512</v>
      </c>
      <c r="C193" s="716">
        <f>C191/C192</f>
        <v>28</v>
      </c>
      <c r="D193" s="716">
        <f>D191/D192</f>
        <v>0</v>
      </c>
      <c r="E193" s="812">
        <f>D193-C193</f>
        <v>-28</v>
      </c>
      <c r="F193" s="811">
        <f>D193/C193*100</f>
        <v>0</v>
      </c>
      <c r="G193" s="813" t="s">
        <v>606</v>
      </c>
    </row>
    <row r="194" spans="1:24" s="548" customFormat="1" ht="47.25" x14ac:dyDescent="0.25">
      <c r="A194" s="209"/>
      <c r="B194" s="810" t="s">
        <v>513</v>
      </c>
      <c r="C194" s="814">
        <v>27</v>
      </c>
      <c r="D194" s="814">
        <f>584/9072*100</f>
        <v>6.4373897707231036</v>
      </c>
      <c r="E194" s="815">
        <f>D194-C194</f>
        <v>-20.562610229276896</v>
      </c>
      <c r="F194" s="811">
        <f>D194/C194*100</f>
        <v>23.842184336011496</v>
      </c>
      <c r="G194" s="701" t="s">
        <v>806</v>
      </c>
      <c r="H194" s="546"/>
      <c r="I194" s="547"/>
      <c r="J194" s="547"/>
      <c r="K194" s="547"/>
      <c r="L194" s="547"/>
      <c r="M194" s="547"/>
      <c r="N194" s="547"/>
      <c r="O194" s="547"/>
      <c r="P194" s="547"/>
      <c r="Q194" s="547"/>
      <c r="R194" s="547"/>
      <c r="S194" s="547"/>
      <c r="T194" s="547"/>
      <c r="U194" s="547"/>
      <c r="V194" s="547"/>
      <c r="W194" s="547"/>
      <c r="X194" s="547"/>
    </row>
    <row r="195" spans="1:24" ht="33.75" customHeight="1" x14ac:dyDescent="0.25">
      <c r="A195" s="225" t="s">
        <v>514</v>
      </c>
      <c r="B195" s="1136" t="s">
        <v>515</v>
      </c>
      <c r="C195" s="1137"/>
      <c r="D195" s="1137"/>
      <c r="E195" s="1137"/>
      <c r="F195" s="1137"/>
      <c r="G195" s="1138"/>
    </row>
    <row r="196" spans="1:24" s="341" customFormat="1" ht="63" x14ac:dyDescent="0.25">
      <c r="A196" s="393"/>
      <c r="B196" s="808" t="s">
        <v>517</v>
      </c>
      <c r="C196" s="716">
        <f>'звіт ІІІ кв'!E73</f>
        <v>6841</v>
      </c>
      <c r="D196" s="716">
        <f>'звіт ІІІ кв'!I73</f>
        <v>1321.58</v>
      </c>
      <c r="E196" s="807">
        <f>D196-C196</f>
        <v>-5519.42</v>
      </c>
      <c r="F196" s="807">
        <f>D196/C196*100</f>
        <v>19.31852068411051</v>
      </c>
      <c r="G196" s="764" t="s">
        <v>935</v>
      </c>
      <c r="H196" s="340"/>
      <c r="I196" s="289"/>
      <c r="J196" s="289"/>
      <c r="K196" s="289"/>
      <c r="L196" s="289"/>
      <c r="M196" s="289"/>
      <c r="N196" s="289"/>
      <c r="O196" s="289"/>
      <c r="P196" s="289"/>
      <c r="Q196" s="289"/>
      <c r="R196" s="289"/>
      <c r="S196" s="289"/>
      <c r="T196" s="289"/>
      <c r="U196" s="289"/>
      <c r="V196" s="289"/>
      <c r="W196" s="289"/>
      <c r="X196" s="289"/>
    </row>
    <row r="197" spans="1:24" s="341" customFormat="1" ht="63" x14ac:dyDescent="0.25">
      <c r="A197" s="393"/>
      <c r="B197" s="808" t="s">
        <v>518</v>
      </c>
      <c r="C197" s="807">
        <v>8950</v>
      </c>
      <c r="D197" s="807">
        <v>4313</v>
      </c>
      <c r="E197" s="807">
        <f>D197-C197</f>
        <v>-4637</v>
      </c>
      <c r="F197" s="807">
        <f>D197/C197*100</f>
        <v>48.18994413407821</v>
      </c>
      <c r="G197" s="704" t="s">
        <v>862</v>
      </c>
      <c r="H197" s="340"/>
      <c r="I197" s="289"/>
      <c r="J197" s="289"/>
      <c r="K197" s="289"/>
      <c r="L197" s="289"/>
      <c r="M197" s="289"/>
      <c r="N197" s="289"/>
      <c r="O197" s="289"/>
      <c r="P197" s="289"/>
      <c r="Q197" s="289"/>
      <c r="R197" s="289"/>
      <c r="S197" s="289"/>
      <c r="T197" s="289"/>
      <c r="U197" s="289"/>
      <c r="V197" s="289"/>
      <c r="W197" s="289"/>
      <c r="X197" s="289"/>
    </row>
    <row r="198" spans="1:24" s="341" customFormat="1" ht="47.25" x14ac:dyDescent="0.25">
      <c r="A198" s="393"/>
      <c r="B198" s="808" t="s">
        <v>519</v>
      </c>
      <c r="C198" s="716">
        <f>C196/C197</f>
        <v>0.76435754189944138</v>
      </c>
      <c r="D198" s="716">
        <f>D196/D197</f>
        <v>0.30641780663111523</v>
      </c>
      <c r="E198" s="816">
        <f>D198-C198</f>
        <v>-0.45793973526832615</v>
      </c>
      <c r="F198" s="807">
        <f>D198/C198*100</f>
        <v>40.088281966795513</v>
      </c>
      <c r="G198" s="704" t="s">
        <v>861</v>
      </c>
      <c r="H198" s="340"/>
      <c r="I198" s="289"/>
      <c r="J198" s="289"/>
      <c r="K198" s="289"/>
      <c r="L198" s="289"/>
      <c r="M198" s="289"/>
      <c r="N198" s="289"/>
      <c r="O198" s="289"/>
      <c r="P198" s="289"/>
      <c r="Q198" s="289"/>
      <c r="R198" s="289"/>
      <c r="S198" s="289"/>
      <c r="T198" s="289"/>
      <c r="U198" s="289"/>
      <c r="V198" s="289"/>
      <c r="W198" s="289"/>
      <c r="X198" s="289"/>
    </row>
    <row r="199" spans="1:24" s="341" customFormat="1" ht="63" x14ac:dyDescent="0.25">
      <c r="A199" s="393"/>
      <c r="B199" s="808" t="s">
        <v>520</v>
      </c>
      <c r="C199" s="814">
        <v>50</v>
      </c>
      <c r="D199" s="814">
        <f>D197/13516*100</f>
        <v>31.910328499556083</v>
      </c>
      <c r="E199" s="814">
        <f>D199-C199</f>
        <v>-18.089671500443917</v>
      </c>
      <c r="F199" s="807">
        <f>D199/C199*100</f>
        <v>63.820656999112167</v>
      </c>
      <c r="G199" s="704" t="s">
        <v>860</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x14ac:dyDescent="0.25">
      <c r="A200" s="291" t="s">
        <v>379</v>
      </c>
      <c r="B200" s="1186" t="s">
        <v>154</v>
      </c>
      <c r="C200" s="1187"/>
      <c r="D200" s="1187"/>
      <c r="E200" s="1187"/>
      <c r="F200" s="1187"/>
      <c r="G200" s="1188"/>
      <c r="H200" s="324"/>
      <c r="I200" s="289"/>
      <c r="J200" s="587"/>
      <c r="K200" s="289"/>
      <c r="L200" s="289"/>
      <c r="M200" s="289"/>
      <c r="N200" s="288"/>
      <c r="O200" s="288"/>
      <c r="P200" s="288"/>
      <c r="Q200" s="288"/>
      <c r="R200" s="288"/>
      <c r="S200" s="288"/>
      <c r="T200" s="288"/>
      <c r="U200" s="288"/>
      <c r="V200" s="288"/>
      <c r="W200" s="288"/>
      <c r="X200" s="288"/>
    </row>
    <row r="201" spans="1:24" s="290" customFormat="1" ht="126" x14ac:dyDescent="0.25">
      <c r="A201" s="291"/>
      <c r="B201" s="717" t="s">
        <v>521</v>
      </c>
      <c r="C201" s="105">
        <f>'звіт ІІІ кв'!E75</f>
        <v>36540.245999999999</v>
      </c>
      <c r="D201" s="105">
        <f>'звіт ІІІ кв'!I74</f>
        <v>19476.493999999999</v>
      </c>
      <c r="E201" s="105">
        <f>D201-C201</f>
        <v>-17063.752</v>
      </c>
      <c r="F201" s="706">
        <f>D201/C201*100</f>
        <v>53.301485709756847</v>
      </c>
      <c r="G201" s="704" t="s">
        <v>936</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41" t="s">
        <v>156</v>
      </c>
      <c r="C202" s="1142"/>
      <c r="D202" s="1142"/>
      <c r="E202" s="1142"/>
      <c r="F202" s="1142"/>
      <c r="G202" s="1143"/>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x14ac:dyDescent="0.25">
      <c r="A203" s="235"/>
      <c r="B203" s="750" t="s">
        <v>522</v>
      </c>
      <c r="C203" s="292"/>
      <c r="D203" s="292"/>
      <c r="E203" s="750"/>
      <c r="F203" s="750"/>
      <c r="G203" s="750"/>
      <c r="H203" s="578"/>
      <c r="I203" s="547"/>
      <c r="J203" s="547"/>
      <c r="K203" s="547"/>
      <c r="L203" s="547"/>
      <c r="M203" s="547"/>
      <c r="N203" s="579"/>
      <c r="O203" s="579"/>
      <c r="P203" s="579"/>
      <c r="Q203" s="579"/>
      <c r="R203" s="579"/>
      <c r="S203" s="579"/>
      <c r="T203" s="579"/>
      <c r="U203" s="579"/>
      <c r="V203" s="579"/>
      <c r="W203" s="579"/>
      <c r="X203" s="579"/>
    </row>
    <row r="204" spans="1:24" s="580" customFormat="1" ht="47.25" x14ac:dyDescent="0.25">
      <c r="A204" s="235"/>
      <c r="B204" s="701" t="s">
        <v>523</v>
      </c>
      <c r="C204" s="68">
        <v>13600</v>
      </c>
      <c r="D204" s="68">
        <v>7200</v>
      </c>
      <c r="E204" s="194">
        <f>D204-C204</f>
        <v>-6400</v>
      </c>
      <c r="F204" s="781">
        <f>D204/C204*100</f>
        <v>52.941176470588239</v>
      </c>
      <c r="G204" s="452" t="s">
        <v>829</v>
      </c>
      <c r="H204" s="578"/>
      <c r="I204" s="547"/>
      <c r="J204" s="547"/>
      <c r="K204" s="547"/>
      <c r="L204" s="547"/>
      <c r="M204" s="547"/>
      <c r="N204" s="579"/>
      <c r="O204" s="579"/>
      <c r="P204" s="579"/>
      <c r="Q204" s="579"/>
      <c r="R204" s="579"/>
      <c r="S204" s="579"/>
      <c r="T204" s="579"/>
      <c r="U204" s="579"/>
      <c r="V204" s="579"/>
      <c r="W204" s="579"/>
      <c r="X204" s="579"/>
    </row>
    <row r="205" spans="1:24" s="580" customFormat="1" ht="47.25" x14ac:dyDescent="0.25">
      <c r="A205" s="235"/>
      <c r="B205" s="701" t="s">
        <v>524</v>
      </c>
      <c r="C205" s="68">
        <v>15000</v>
      </c>
      <c r="D205" s="68">
        <v>6614</v>
      </c>
      <c r="E205" s="194">
        <f t="shared" ref="E205:E215" si="9">D205-C205</f>
        <v>-8386</v>
      </c>
      <c r="F205" s="195">
        <f t="shared" ref="F205:F215" si="10">D205/C205*100</f>
        <v>44.093333333333334</v>
      </c>
      <c r="G205" s="452" t="s">
        <v>829</v>
      </c>
      <c r="H205" s="578"/>
      <c r="I205" s="547"/>
      <c r="J205" s="547"/>
      <c r="K205" s="547"/>
      <c r="L205" s="547"/>
      <c r="M205" s="547"/>
      <c r="N205" s="579"/>
      <c r="O205" s="579"/>
      <c r="P205" s="579"/>
      <c r="Q205" s="579"/>
      <c r="R205" s="579"/>
      <c r="S205" s="579"/>
      <c r="T205" s="579"/>
      <c r="U205" s="579"/>
      <c r="V205" s="579"/>
      <c r="W205" s="579"/>
      <c r="X205" s="579"/>
    </row>
    <row r="206" spans="1:24" s="580" customFormat="1" x14ac:dyDescent="0.25">
      <c r="A206" s="235"/>
      <c r="B206" s="714" t="s">
        <v>525</v>
      </c>
      <c r="C206" s="710"/>
      <c r="D206" s="68"/>
      <c r="E206" s="194"/>
      <c r="F206" s="194"/>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x14ac:dyDescent="0.25">
      <c r="A207" s="235"/>
      <c r="B207" s="817" t="s">
        <v>529</v>
      </c>
      <c r="C207" s="818">
        <v>15000</v>
      </c>
      <c r="D207" s="68">
        <v>12027</v>
      </c>
      <c r="E207" s="194">
        <f t="shared" si="9"/>
        <v>-2973</v>
      </c>
      <c r="F207" s="195">
        <f t="shared" si="10"/>
        <v>80.179999999999993</v>
      </c>
      <c r="G207" s="452" t="s">
        <v>829</v>
      </c>
      <c r="H207" s="581"/>
      <c r="I207" s="582"/>
      <c r="J207" s="582"/>
      <c r="K207" s="582"/>
      <c r="L207" s="582"/>
      <c r="M207" s="582"/>
      <c r="N207" s="583"/>
      <c r="O207" s="583"/>
      <c r="P207" s="583"/>
      <c r="Q207" s="583"/>
      <c r="R207" s="583"/>
      <c r="S207" s="583"/>
      <c r="T207" s="583"/>
      <c r="U207" s="583"/>
      <c r="V207" s="583"/>
      <c r="W207" s="583"/>
      <c r="X207" s="583"/>
    </row>
    <row r="208" spans="1:24" s="580" customFormat="1" x14ac:dyDescent="0.25">
      <c r="A208" s="235"/>
      <c r="B208" s="714" t="s">
        <v>528</v>
      </c>
      <c r="C208" s="710"/>
      <c r="D208" s="68"/>
      <c r="E208" s="194"/>
      <c r="F208" s="194"/>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x14ac:dyDescent="0.25">
      <c r="A209" s="235"/>
      <c r="B209" s="819" t="s">
        <v>530</v>
      </c>
      <c r="C209" s="820">
        <v>35800</v>
      </c>
      <c r="D209" s="68">
        <v>19259</v>
      </c>
      <c r="E209" s="194">
        <f t="shared" si="9"/>
        <v>-16541</v>
      </c>
      <c r="F209" s="195">
        <f t="shared" si="10"/>
        <v>53.796089385474865</v>
      </c>
      <c r="G209" s="452" t="s">
        <v>829</v>
      </c>
      <c r="H209" s="581"/>
      <c r="I209" s="582"/>
      <c r="J209" s="582"/>
      <c r="K209" s="582"/>
      <c r="L209" s="582"/>
      <c r="M209" s="582"/>
      <c r="N209" s="583"/>
      <c r="O209" s="583"/>
      <c r="P209" s="583"/>
      <c r="Q209" s="583"/>
      <c r="R209" s="583"/>
      <c r="S209" s="583"/>
      <c r="T209" s="583"/>
      <c r="U209" s="583"/>
      <c r="V209" s="583"/>
      <c r="W209" s="583"/>
      <c r="X209" s="583"/>
    </row>
    <row r="210" spans="1:24" s="580" customFormat="1" x14ac:dyDescent="0.25">
      <c r="A210" s="235"/>
      <c r="B210" s="714" t="s">
        <v>526</v>
      </c>
      <c r="C210" s="710"/>
      <c r="D210" s="68"/>
      <c r="E210" s="194"/>
      <c r="F210" s="194"/>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x14ac:dyDescent="0.25">
      <c r="A211" s="235"/>
      <c r="B211" s="819" t="s">
        <v>531</v>
      </c>
      <c r="C211" s="820">
        <v>35800</v>
      </c>
      <c r="D211" s="68">
        <v>15290</v>
      </c>
      <c r="E211" s="194">
        <f t="shared" si="9"/>
        <v>-20510</v>
      </c>
      <c r="F211" s="195">
        <f t="shared" si="10"/>
        <v>42.709497206703908</v>
      </c>
      <c r="G211" s="452" t="s">
        <v>829</v>
      </c>
      <c r="H211" s="581"/>
      <c r="I211" s="582"/>
      <c r="J211" s="582"/>
      <c r="K211" s="582"/>
      <c r="L211" s="582"/>
      <c r="M211" s="582"/>
      <c r="N211" s="583"/>
      <c r="O211" s="583"/>
      <c r="P211" s="583"/>
      <c r="Q211" s="583"/>
      <c r="R211" s="583"/>
      <c r="S211" s="583"/>
      <c r="T211" s="583"/>
      <c r="U211" s="583"/>
      <c r="V211" s="583"/>
      <c r="W211" s="583"/>
      <c r="X211" s="583"/>
    </row>
    <row r="212" spans="1:24" s="198" customFormat="1" ht="31.5" x14ac:dyDescent="0.25">
      <c r="A212" s="235"/>
      <c r="B212" s="750" t="s">
        <v>527</v>
      </c>
      <c r="C212" s="715"/>
      <c r="D212" s="704"/>
      <c r="E212" s="701"/>
      <c r="F212" s="70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820">
        <v>1600</v>
      </c>
      <c r="D213" s="68">
        <v>1499</v>
      </c>
      <c r="E213" s="194">
        <f t="shared" si="9"/>
        <v>-101</v>
      </c>
      <c r="F213" s="195">
        <f t="shared" si="10"/>
        <v>93.6875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749" t="s">
        <v>533</v>
      </c>
      <c r="C214" s="705">
        <v>3.75</v>
      </c>
      <c r="D214" s="705">
        <f>D201/D169</f>
        <v>2.078601280683031</v>
      </c>
      <c r="E214" s="700">
        <f t="shared" si="9"/>
        <v>-1.671398719316969</v>
      </c>
      <c r="F214" s="195">
        <f t="shared" si="10"/>
        <v>55.429367484880821</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749" t="s">
        <v>534</v>
      </c>
      <c r="C215" s="68">
        <v>90</v>
      </c>
      <c r="D215" s="68">
        <v>89</v>
      </c>
      <c r="E215" s="821">
        <f t="shared" si="9"/>
        <v>-1</v>
      </c>
      <c r="F215" s="195">
        <f t="shared" si="10"/>
        <v>98.888888888888886</v>
      </c>
      <c r="G215" s="764" t="s">
        <v>839</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41" t="s">
        <v>535</v>
      </c>
      <c r="C216" s="1142"/>
      <c r="D216" s="1142"/>
      <c r="E216" s="1142"/>
      <c r="F216" s="1142"/>
      <c r="G216" s="1143"/>
    </row>
    <row r="217" spans="1:24" ht="82.5" customHeight="1" x14ac:dyDescent="0.25">
      <c r="A217" s="213"/>
      <c r="B217" s="774" t="s">
        <v>536</v>
      </c>
      <c r="C217" s="712">
        <v>1680</v>
      </c>
      <c r="D217" s="712">
        <v>1407</v>
      </c>
      <c r="E217" s="121">
        <f>D217-C217</f>
        <v>-273</v>
      </c>
      <c r="F217" s="121">
        <f>D217/C217*100</f>
        <v>83.75</v>
      </c>
      <c r="G217" s="773" t="s">
        <v>863</v>
      </c>
    </row>
    <row r="218" spans="1:24" ht="110.25" x14ac:dyDescent="0.25">
      <c r="A218" s="210"/>
      <c r="B218" s="774" t="s">
        <v>537</v>
      </c>
      <c r="C218" s="791">
        <v>92</v>
      </c>
      <c r="D218" s="791" t="s">
        <v>653</v>
      </c>
      <c r="E218" s="121" t="s">
        <v>653</v>
      </c>
      <c r="F218" s="121" t="s">
        <v>653</v>
      </c>
      <c r="G218" s="701" t="s">
        <v>707</v>
      </c>
    </row>
    <row r="219" spans="1:24" ht="36.75" customHeight="1" x14ac:dyDescent="0.25">
      <c r="A219" s="208" t="s">
        <v>384</v>
      </c>
      <c r="B219" s="1136" t="s">
        <v>538</v>
      </c>
      <c r="C219" s="1137"/>
      <c r="D219" s="1137"/>
      <c r="E219" s="1137"/>
      <c r="F219" s="1137"/>
      <c r="G219" s="1138"/>
    </row>
    <row r="220" spans="1:24" s="341" customFormat="1" x14ac:dyDescent="0.25">
      <c r="A220" s="398"/>
      <c r="B220" s="453" t="s">
        <v>517</v>
      </c>
      <c r="C220" s="108">
        <f>'звіт ІІІ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68">
        <v>5</v>
      </c>
      <c r="D221" s="791">
        <v>0</v>
      </c>
      <c r="E221" s="120">
        <f>D221-C221</f>
        <v>-5</v>
      </c>
      <c r="F221" s="121">
        <f>D221/C221*100</f>
        <v>0</v>
      </c>
      <c r="G221" s="701" t="s">
        <v>685</v>
      </c>
    </row>
    <row r="222" spans="1:24" ht="31.5" x14ac:dyDescent="0.25">
      <c r="A222" s="207"/>
      <c r="B222" s="454" t="s">
        <v>676</v>
      </c>
      <c r="C222" s="68">
        <f>C220/C221</f>
        <v>57.6</v>
      </c>
      <c r="D222" s="765">
        <v>0</v>
      </c>
      <c r="E222" s="120">
        <f>D222-C222</f>
        <v>-57.6</v>
      </c>
      <c r="F222" s="121">
        <f>D222/C222*100</f>
        <v>0</v>
      </c>
      <c r="G222" s="701" t="s">
        <v>685</v>
      </c>
    </row>
    <row r="223" spans="1:24" ht="47.25" x14ac:dyDescent="0.25">
      <c r="A223" s="207"/>
      <c r="B223" s="454" t="s">
        <v>677</v>
      </c>
      <c r="C223" s="68">
        <v>16</v>
      </c>
      <c r="D223" s="791">
        <v>0</v>
      </c>
      <c r="E223" s="120">
        <f>D223-C223</f>
        <v>-16</v>
      </c>
      <c r="F223" s="121">
        <f>D223/C223*100</f>
        <v>0</v>
      </c>
      <c r="G223" s="701" t="s">
        <v>685</v>
      </c>
    </row>
    <row r="224" spans="1:24" x14ac:dyDescent="0.25">
      <c r="A224" s="211" t="s">
        <v>163</v>
      </c>
      <c r="B224" s="1133" t="s">
        <v>539</v>
      </c>
      <c r="C224" s="1134"/>
      <c r="D224" s="1134"/>
      <c r="E224" s="1134"/>
      <c r="F224" s="1134"/>
      <c r="G224" s="1135"/>
    </row>
    <row r="225" spans="1:7" ht="78.75" x14ac:dyDescent="0.25">
      <c r="A225" s="213"/>
      <c r="B225" s="774" t="s">
        <v>540</v>
      </c>
      <c r="C225" s="791">
        <v>20</v>
      </c>
      <c r="D225" s="791">
        <v>5</v>
      </c>
      <c r="E225" s="120">
        <f>D225-C225</f>
        <v>-15</v>
      </c>
      <c r="F225" s="121">
        <f>D225/C225*100</f>
        <v>25</v>
      </c>
      <c r="G225" s="701" t="s">
        <v>937</v>
      </c>
    </row>
    <row r="226" spans="1:7" ht="47.25" x14ac:dyDescent="0.25">
      <c r="A226" s="209"/>
      <c r="B226" s="774" t="s">
        <v>541</v>
      </c>
      <c r="C226" s="791">
        <v>100</v>
      </c>
      <c r="D226" s="766">
        <v>100</v>
      </c>
      <c r="E226" s="775">
        <f>D226-C226</f>
        <v>0</v>
      </c>
      <c r="F226" s="121">
        <f>D226/C226*100</f>
        <v>100</v>
      </c>
      <c r="G226" s="701" t="s">
        <v>400</v>
      </c>
    </row>
    <row r="227" spans="1:7" ht="47.25" x14ac:dyDescent="0.25">
      <c r="A227" s="210"/>
      <c r="B227" s="774" t="s">
        <v>236</v>
      </c>
      <c r="C227" s="791">
        <v>100</v>
      </c>
      <c r="D227" s="791">
        <v>100</v>
      </c>
      <c r="E227" s="120">
        <f>D227-C227</f>
        <v>0</v>
      </c>
      <c r="F227" s="121">
        <f>D227/C227*100</f>
        <v>100</v>
      </c>
      <c r="G227" s="701" t="s">
        <v>400</v>
      </c>
    </row>
    <row r="228" spans="1:7" x14ac:dyDescent="0.25">
      <c r="A228" s="125"/>
    </row>
    <row r="229" spans="1:7" x14ac:dyDescent="0.25">
      <c r="A229" s="125"/>
    </row>
    <row r="230" spans="1:7" x14ac:dyDescent="0.25">
      <c r="A230" s="125"/>
      <c r="B230" s="237" t="s">
        <v>835</v>
      </c>
      <c r="C230" s="415" t="s">
        <v>836</v>
      </c>
    </row>
    <row r="231" spans="1:7" ht="43.5" customHeight="1" x14ac:dyDescent="0.25">
      <c r="A231" s="125"/>
    </row>
    <row r="232" spans="1:7" ht="16.5" customHeight="1" x14ac:dyDescent="0.25">
      <c r="A232" s="125"/>
      <c r="B232" s="720" t="s">
        <v>837</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B224:G224"/>
    <mergeCell ref="B195:G195"/>
    <mergeCell ref="B200:G200"/>
    <mergeCell ref="B202:G202"/>
    <mergeCell ref="B216:G216"/>
    <mergeCell ref="B219:G219"/>
    <mergeCell ref="B160:G160"/>
    <mergeCell ref="B165:G165"/>
    <mergeCell ref="B166:G166"/>
    <mergeCell ref="B179:G179"/>
    <mergeCell ref="B190:G190"/>
    <mergeCell ref="B110:G110"/>
    <mergeCell ref="B111:G111"/>
    <mergeCell ref="B136:G136"/>
    <mergeCell ref="B141:G141"/>
    <mergeCell ref="B146:G146"/>
    <mergeCell ref="B90:G90"/>
    <mergeCell ref="B95:G95"/>
    <mergeCell ref="B98:G98"/>
    <mergeCell ref="B100:G100"/>
    <mergeCell ref="B105:G105"/>
    <mergeCell ref="B64:G64"/>
    <mergeCell ref="B74:G74"/>
    <mergeCell ref="B79:G79"/>
    <mergeCell ref="B80:G80"/>
    <mergeCell ref="B87:G87"/>
    <mergeCell ref="B33:G33"/>
    <mergeCell ref="B36:G36"/>
    <mergeCell ref="B41:G41"/>
    <mergeCell ref="B46:G46"/>
    <mergeCell ref="B51:G51"/>
    <mergeCell ref="B14:G14"/>
    <mergeCell ref="B15:G15"/>
    <mergeCell ref="B20:G20"/>
    <mergeCell ref="B25:G25"/>
    <mergeCell ref="B30:G30"/>
    <mergeCell ref="A8:G8"/>
    <mergeCell ref="A9:G9"/>
    <mergeCell ref="A11:A12"/>
    <mergeCell ref="B11:B12"/>
    <mergeCell ref="C11:D11"/>
    <mergeCell ref="E11:E12"/>
    <mergeCell ref="F11:F12"/>
    <mergeCell ref="G11:G12"/>
  </mergeCells>
  <pageMargins left="0.51181102362204722" right="0.31496062992125984" top="0.55118110236220474" bottom="0.35433070866141736" header="0" footer="0"/>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02"/>
  <sheetViews>
    <sheetView zoomScale="85" zoomScaleNormal="85" workbookViewId="0">
      <pane xSplit="2" ySplit="9" topLeftCell="C22" activePane="bottomRight" state="frozen"/>
      <selection pane="topRight" activeCell="C1" sqref="C1"/>
      <selection pane="bottomLeft" activeCell="A10" sqref="A10"/>
      <selection pane="bottomRight" activeCell="E24" sqref="E24"/>
    </sheetView>
  </sheetViews>
  <sheetFormatPr defaultRowHeight="15.75" x14ac:dyDescent="0.25"/>
  <cols>
    <col min="1" max="1" width="6.42578125" style="861" customWidth="1"/>
    <col min="2" max="2" width="27.140625" style="862" customWidth="1"/>
    <col min="3" max="3" width="19.7109375" style="862" customWidth="1"/>
    <col min="4" max="4" width="13.85546875" style="863" customWidth="1"/>
    <col min="5" max="5" width="19.42578125" style="858" customWidth="1"/>
    <col min="6" max="6" width="14.140625" style="858" customWidth="1"/>
    <col min="7" max="7" width="16.42578125" style="856" customWidth="1"/>
    <col min="8" max="8" width="16.140625" style="856" customWidth="1"/>
    <col min="9" max="9" width="26.85546875" style="864" customWidth="1"/>
    <col min="10" max="10" width="21.85546875" style="856" customWidth="1"/>
    <col min="11" max="11" width="12" style="856" customWidth="1"/>
    <col min="12" max="12" width="25" style="856" customWidth="1"/>
    <col min="13" max="13" width="9.140625" style="857"/>
    <col min="14" max="14" width="18.42578125" style="857" customWidth="1"/>
    <col min="15" max="16384" width="9.140625" style="857"/>
  </cols>
  <sheetData>
    <row r="1" spans="1:12" x14ac:dyDescent="0.25">
      <c r="A1" s="878"/>
      <c r="B1" s="879"/>
      <c r="C1" s="879"/>
      <c r="D1" s="880"/>
      <c r="E1" s="881"/>
      <c r="F1" s="881"/>
      <c r="G1" s="882"/>
      <c r="H1" s="882"/>
      <c r="I1" s="883"/>
      <c r="J1" s="884" t="s">
        <v>942</v>
      </c>
      <c r="K1" s="882"/>
      <c r="L1" s="882"/>
    </row>
    <row r="2" spans="1:12" x14ac:dyDescent="0.25">
      <c r="A2" s="878"/>
      <c r="B2" s="879"/>
      <c r="C2" s="879"/>
      <c r="D2" s="880"/>
      <c r="E2" s="881"/>
      <c r="F2" s="881"/>
      <c r="G2" s="882"/>
      <c r="H2" s="882"/>
      <c r="I2" s="883"/>
      <c r="J2" s="884"/>
      <c r="K2" s="882"/>
      <c r="L2" s="882"/>
    </row>
    <row r="3" spans="1:12" x14ac:dyDescent="0.25">
      <c r="A3" s="878"/>
      <c r="B3" s="879"/>
      <c r="C3" s="879"/>
      <c r="D3" s="880"/>
      <c r="E3" s="881"/>
      <c r="F3" s="881"/>
      <c r="G3" s="881"/>
      <c r="H3" s="881"/>
      <c r="I3" s="881"/>
      <c r="J3" s="881"/>
      <c r="K3" s="881"/>
      <c r="L3" s="881"/>
    </row>
    <row r="4" spans="1:12" x14ac:dyDescent="0.25">
      <c r="A4" s="1240" t="s">
        <v>944</v>
      </c>
      <c r="B4" s="1240"/>
      <c r="C4" s="1240"/>
      <c r="D4" s="1240"/>
      <c r="E4" s="1240"/>
      <c r="F4" s="1240"/>
      <c r="G4" s="1240"/>
      <c r="H4" s="1240"/>
      <c r="I4" s="1240"/>
      <c r="J4" s="1240"/>
      <c r="K4" s="1240"/>
      <c r="L4" s="1240"/>
    </row>
    <row r="5" spans="1:12" x14ac:dyDescent="0.25">
      <c r="A5" s="878"/>
      <c r="B5" s="879"/>
      <c r="C5" s="879"/>
      <c r="D5" s="880"/>
      <c r="E5" s="881"/>
      <c r="F5" s="881"/>
      <c r="G5" s="881"/>
      <c r="H5" s="881"/>
      <c r="I5" s="881"/>
      <c r="J5" s="881"/>
      <c r="K5" s="881"/>
      <c r="L5" s="881"/>
    </row>
    <row r="6" spans="1:12" x14ac:dyDescent="0.25">
      <c r="A6" s="1241" t="s">
        <v>26</v>
      </c>
      <c r="B6" s="1242" t="s">
        <v>37</v>
      </c>
      <c r="C6" s="1242" t="s">
        <v>38</v>
      </c>
      <c r="D6" s="1242" t="s">
        <v>39</v>
      </c>
      <c r="E6" s="1243" t="s">
        <v>45</v>
      </c>
      <c r="F6" s="1243"/>
      <c r="G6" s="1243"/>
      <c r="H6" s="1243"/>
      <c r="I6" s="1243" t="s">
        <v>40</v>
      </c>
      <c r="J6" s="1243"/>
      <c r="K6" s="1243"/>
      <c r="L6" s="1243"/>
    </row>
    <row r="7" spans="1:12" x14ac:dyDescent="0.25">
      <c r="A7" s="1241"/>
      <c r="B7" s="1242"/>
      <c r="C7" s="1242"/>
      <c r="D7" s="1242"/>
      <c r="E7" s="1244" t="s">
        <v>41</v>
      </c>
      <c r="F7" s="1245" t="s">
        <v>42</v>
      </c>
      <c r="G7" s="1245"/>
      <c r="H7" s="1245"/>
      <c r="I7" s="1244" t="s">
        <v>41</v>
      </c>
      <c r="J7" s="1245" t="s">
        <v>42</v>
      </c>
      <c r="K7" s="1245"/>
      <c r="L7" s="1246"/>
    </row>
    <row r="8" spans="1:12" ht="31.5" x14ac:dyDescent="0.25">
      <c r="A8" s="1241"/>
      <c r="B8" s="1242"/>
      <c r="C8" s="1242"/>
      <c r="D8" s="1242"/>
      <c r="E8" s="1244"/>
      <c r="F8" s="885" t="s">
        <v>44</v>
      </c>
      <c r="G8" s="885" t="s">
        <v>43</v>
      </c>
      <c r="H8" s="885" t="s">
        <v>27</v>
      </c>
      <c r="I8" s="1244"/>
      <c r="J8" s="885" t="s">
        <v>44</v>
      </c>
      <c r="K8" s="886" t="s">
        <v>43</v>
      </c>
      <c r="L8" s="885" t="s">
        <v>27</v>
      </c>
    </row>
    <row r="9" spans="1:12" x14ac:dyDescent="0.25">
      <c r="A9" s="887" t="s">
        <v>28</v>
      </c>
      <c r="B9" s="888">
        <v>2</v>
      </c>
      <c r="C9" s="887" t="s">
        <v>103</v>
      </c>
      <c r="D9" s="888">
        <v>4</v>
      </c>
      <c r="E9" s="885" t="s">
        <v>155</v>
      </c>
      <c r="F9" s="889">
        <v>6</v>
      </c>
      <c r="G9" s="890">
        <v>7</v>
      </c>
      <c r="H9" s="889">
        <v>8</v>
      </c>
      <c r="I9" s="890">
        <v>9</v>
      </c>
      <c r="J9" s="889">
        <v>10</v>
      </c>
      <c r="K9" s="891">
        <v>11</v>
      </c>
      <c r="L9" s="889">
        <v>12</v>
      </c>
    </row>
    <row r="10" spans="1:12" ht="63" x14ac:dyDescent="0.25">
      <c r="A10" s="892" t="s">
        <v>17</v>
      </c>
      <c r="B10" s="893" t="s">
        <v>48</v>
      </c>
      <c r="C10" s="894"/>
      <c r="D10" s="895"/>
      <c r="E10" s="896">
        <f>SUM(F10:H10)</f>
        <v>36080.53</v>
      </c>
      <c r="F10" s="897">
        <f>F11+F15+F16+F17+F18+F19+F20+F25+F29</f>
        <v>0</v>
      </c>
      <c r="G10" s="897">
        <f>G11+G15+G16+G17+G18+G19+G20+G25+G29</f>
        <v>3466.58</v>
      </c>
      <c r="H10" s="897">
        <f>H11+H15+H16+H17+H18+H19+H20+H25+H29</f>
        <v>32613.95</v>
      </c>
      <c r="I10" s="897">
        <f>SUM(J10:L10)</f>
        <v>7567.3439999999991</v>
      </c>
      <c r="J10" s="897">
        <f>J11+J15+J16+J17+J18+J19+J20+J25+J29</f>
        <v>90.09</v>
      </c>
      <c r="K10" s="897">
        <f>K11+K15+K16+K17+K18+K19+K20+K25+K29</f>
        <v>213.00899999999999</v>
      </c>
      <c r="L10" s="897">
        <f>L11+L15+L16+L17+L18+L19+L20+L25+L29</f>
        <v>7264.244999999999</v>
      </c>
    </row>
    <row r="11" spans="1:12" ht="173.25" x14ac:dyDescent="0.25">
      <c r="A11" s="887" t="s">
        <v>46</v>
      </c>
      <c r="B11" s="898" t="s">
        <v>542</v>
      </c>
      <c r="C11" s="888"/>
      <c r="D11" s="899"/>
      <c r="E11" s="896">
        <f t="shared" ref="E11:E74" si="0">SUM(F11:H11)</f>
        <v>25217.34</v>
      </c>
      <c r="F11" s="897">
        <f>SUM(F12:F14)</f>
        <v>0</v>
      </c>
      <c r="G11" s="897">
        <f>SUM(G12:G14)</f>
        <v>0</v>
      </c>
      <c r="H11" s="897">
        <f>SUM(H12:H14)</f>
        <v>25217.34</v>
      </c>
      <c r="I11" s="897">
        <f t="shared" ref="I11:I74" si="1">SUM(J11:L11)</f>
        <v>3898.6450000000004</v>
      </c>
      <c r="J11" s="897">
        <f>SUM(J12:J14)</f>
        <v>0</v>
      </c>
      <c r="K11" s="897">
        <f>SUM(K12:K14)</f>
        <v>0</v>
      </c>
      <c r="L11" s="896">
        <f>SUM(L12:L14)</f>
        <v>3898.6450000000004</v>
      </c>
    </row>
    <row r="12" spans="1:12" ht="47.25" x14ac:dyDescent="0.25">
      <c r="A12" s="887"/>
      <c r="B12" s="900" t="s">
        <v>616</v>
      </c>
      <c r="C12" s="888" t="s">
        <v>34</v>
      </c>
      <c r="D12" s="901" t="s">
        <v>543</v>
      </c>
      <c r="E12" s="896">
        <f t="shared" si="0"/>
        <v>13082.84</v>
      </c>
      <c r="F12" s="902"/>
      <c r="G12" s="903"/>
      <c r="H12" s="903">
        <v>13082.84</v>
      </c>
      <c r="I12" s="897">
        <f>SUM(J12:L12)</f>
        <v>2473.3000000000002</v>
      </c>
      <c r="J12" s="903"/>
      <c r="K12" s="903"/>
      <c r="L12" s="947">
        <v>2473.3000000000002</v>
      </c>
    </row>
    <row r="13" spans="1:12" ht="63" x14ac:dyDescent="0.25">
      <c r="A13" s="887"/>
      <c r="B13" s="900" t="s">
        <v>617</v>
      </c>
      <c r="C13" s="888" t="s">
        <v>34</v>
      </c>
      <c r="D13" s="901" t="s">
        <v>543</v>
      </c>
      <c r="E13" s="896">
        <f t="shared" si="0"/>
        <v>7339.81</v>
      </c>
      <c r="F13" s="902"/>
      <c r="G13" s="903"/>
      <c r="H13" s="903">
        <v>7339.81</v>
      </c>
      <c r="I13" s="897">
        <f t="shared" si="1"/>
        <v>581.88900000000001</v>
      </c>
      <c r="J13" s="903"/>
      <c r="K13" s="903"/>
      <c r="L13" s="947">
        <v>581.88900000000001</v>
      </c>
    </row>
    <row r="14" spans="1:12" ht="47.25" x14ac:dyDescent="0.25">
      <c r="A14" s="887"/>
      <c r="B14" s="898" t="s">
        <v>618</v>
      </c>
      <c r="C14" s="888" t="s">
        <v>34</v>
      </c>
      <c r="D14" s="901" t="s">
        <v>543</v>
      </c>
      <c r="E14" s="896">
        <f t="shared" si="0"/>
        <v>4794.6899999999996</v>
      </c>
      <c r="F14" s="902"/>
      <c r="G14" s="903"/>
      <c r="H14" s="903">
        <v>4794.6899999999996</v>
      </c>
      <c r="I14" s="897">
        <f t="shared" si="1"/>
        <v>843.45600000000002</v>
      </c>
      <c r="J14" s="903"/>
      <c r="K14" s="903"/>
      <c r="L14" s="947">
        <v>843.45600000000002</v>
      </c>
    </row>
    <row r="15" spans="1:12" ht="157.5" x14ac:dyDescent="0.25">
      <c r="A15" s="892" t="s">
        <v>247</v>
      </c>
      <c r="B15" s="904" t="s">
        <v>248</v>
      </c>
      <c r="C15" s="894" t="s">
        <v>51</v>
      </c>
      <c r="D15" s="905" t="s">
        <v>543</v>
      </c>
      <c r="E15" s="896">
        <f t="shared" si="0"/>
        <v>550</v>
      </c>
      <c r="F15" s="902"/>
      <c r="G15" s="903"/>
      <c r="H15" s="903">
        <v>550</v>
      </c>
      <c r="I15" s="897">
        <f t="shared" si="1"/>
        <v>1051.4000000000001</v>
      </c>
      <c r="J15" s="903"/>
      <c r="K15" s="903"/>
      <c r="L15" s="946">
        <v>1051.4000000000001</v>
      </c>
    </row>
    <row r="16" spans="1:12" ht="78.75" x14ac:dyDescent="0.25">
      <c r="A16" s="887" t="s">
        <v>253</v>
      </c>
      <c r="B16" s="906" t="s">
        <v>547</v>
      </c>
      <c r="C16" s="888" t="s">
        <v>34</v>
      </c>
      <c r="D16" s="901" t="s">
        <v>544</v>
      </c>
      <c r="E16" s="896">
        <f t="shared" si="0"/>
        <v>0</v>
      </c>
      <c r="F16" s="902"/>
      <c r="G16" s="903"/>
      <c r="H16" s="903"/>
      <c r="I16" s="897">
        <f t="shared" si="1"/>
        <v>478.3</v>
      </c>
      <c r="J16" s="903"/>
      <c r="K16" s="903"/>
      <c r="L16" s="896">
        <v>478.3</v>
      </c>
    </row>
    <row r="17" spans="1:12" ht="126" x14ac:dyDescent="0.25">
      <c r="A17" s="887" t="s">
        <v>546</v>
      </c>
      <c r="B17" s="906" t="s">
        <v>55</v>
      </c>
      <c r="C17" s="888" t="s">
        <v>51</v>
      </c>
      <c r="D17" s="899" t="s">
        <v>543</v>
      </c>
      <c r="E17" s="896">
        <f t="shared" si="0"/>
        <v>1860</v>
      </c>
      <c r="F17" s="902"/>
      <c r="G17" s="903"/>
      <c r="H17" s="903">
        <v>1860</v>
      </c>
      <c r="I17" s="897">
        <f t="shared" si="1"/>
        <v>289.89999999999998</v>
      </c>
      <c r="J17" s="903"/>
      <c r="K17" s="903"/>
      <c r="L17" s="896">
        <v>289.89999999999998</v>
      </c>
    </row>
    <row r="18" spans="1:12" ht="220.5" x14ac:dyDescent="0.25">
      <c r="A18" s="887" t="s">
        <v>256</v>
      </c>
      <c r="B18" s="906" t="s">
        <v>548</v>
      </c>
      <c r="C18" s="888" t="s">
        <v>545</v>
      </c>
      <c r="D18" s="899" t="s">
        <v>543</v>
      </c>
      <c r="E18" s="896">
        <f t="shared" si="0"/>
        <v>3901.61</v>
      </c>
      <c r="F18" s="902"/>
      <c r="G18" s="903"/>
      <c r="H18" s="903">
        <v>3901.61</v>
      </c>
      <c r="I18" s="897">
        <f t="shared" si="1"/>
        <v>368.7</v>
      </c>
      <c r="J18" s="903"/>
      <c r="K18" s="903"/>
      <c r="L18" s="903">
        <v>368.7</v>
      </c>
    </row>
    <row r="19" spans="1:12" ht="126" x14ac:dyDescent="0.25">
      <c r="A19" s="887" t="s">
        <v>261</v>
      </c>
      <c r="B19" s="907" t="s">
        <v>57</v>
      </c>
      <c r="C19" s="888" t="s">
        <v>34</v>
      </c>
      <c r="D19" s="901" t="s">
        <v>543</v>
      </c>
      <c r="E19" s="896">
        <f t="shared" si="0"/>
        <v>635</v>
      </c>
      <c r="F19" s="902"/>
      <c r="G19" s="903"/>
      <c r="H19" s="903">
        <v>635</v>
      </c>
      <c r="I19" s="897">
        <f t="shared" si="1"/>
        <v>166.4</v>
      </c>
      <c r="J19" s="903"/>
      <c r="K19" s="903"/>
      <c r="L19" s="903">
        <v>166.4</v>
      </c>
    </row>
    <row r="20" spans="1:12" ht="128.25" customHeight="1" x14ac:dyDescent="0.25">
      <c r="A20" s="887" t="s">
        <v>265</v>
      </c>
      <c r="B20" s="898" t="s">
        <v>549</v>
      </c>
      <c r="C20" s="908" t="s">
        <v>552</v>
      </c>
      <c r="D20" s="901" t="s">
        <v>550</v>
      </c>
      <c r="E20" s="896">
        <f t="shared" si="0"/>
        <v>1752</v>
      </c>
      <c r="F20" s="896">
        <f>F21+F22+F23+F24</f>
        <v>0</v>
      </c>
      <c r="G20" s="896">
        <f>G21+G22+G23+G24</f>
        <v>1752</v>
      </c>
      <c r="H20" s="896">
        <f>H21+H22+H23+H24</f>
        <v>0</v>
      </c>
      <c r="I20" s="897">
        <f>SUM(J20:L20)</f>
        <v>1100.99</v>
      </c>
      <c r="J20" s="903">
        <f>SUM(J21:J24)</f>
        <v>90.09</v>
      </c>
      <c r="K20" s="903">
        <f>SUM(K21:K24)</f>
        <v>0</v>
      </c>
      <c r="L20" s="903">
        <f>SUM(L21:L24)</f>
        <v>1010.9</v>
      </c>
    </row>
    <row r="21" spans="1:12" ht="205.5" customHeight="1" x14ac:dyDescent="0.25">
      <c r="A21" s="887"/>
      <c r="B21" s="900" t="s">
        <v>678</v>
      </c>
      <c r="C21" s="909" t="s">
        <v>680</v>
      </c>
      <c r="D21" s="901" t="s">
        <v>550</v>
      </c>
      <c r="E21" s="896">
        <f t="shared" si="0"/>
        <v>0</v>
      </c>
      <c r="F21" s="902"/>
      <c r="G21" s="903"/>
      <c r="H21" s="903"/>
      <c r="I21" s="897">
        <f>+L20</f>
        <v>1010.9</v>
      </c>
      <c r="J21" s="903"/>
      <c r="K21" s="903"/>
      <c r="L21" s="903"/>
    </row>
    <row r="22" spans="1:12" ht="220.5" x14ac:dyDescent="0.25">
      <c r="A22" s="887"/>
      <c r="B22" s="900" t="s">
        <v>679</v>
      </c>
      <c r="C22" s="908" t="s">
        <v>552</v>
      </c>
      <c r="D22" s="901" t="s">
        <v>550</v>
      </c>
      <c r="E22" s="896">
        <f t="shared" si="0"/>
        <v>0</v>
      </c>
      <c r="F22" s="902"/>
      <c r="G22" s="903"/>
      <c r="H22" s="903"/>
      <c r="I22" s="897">
        <f t="shared" si="1"/>
        <v>0</v>
      </c>
      <c r="J22" s="903"/>
      <c r="K22" s="903"/>
      <c r="L22" s="903"/>
    </row>
    <row r="23" spans="1:12" ht="189" x14ac:dyDescent="0.25">
      <c r="A23" s="887"/>
      <c r="B23" s="906" t="s">
        <v>681</v>
      </c>
      <c r="C23" s="909" t="s">
        <v>551</v>
      </c>
      <c r="D23" s="901" t="s">
        <v>550</v>
      </c>
      <c r="E23" s="896">
        <f t="shared" si="0"/>
        <v>0</v>
      </c>
      <c r="F23" s="902"/>
      <c r="G23" s="903"/>
      <c r="H23" s="903"/>
      <c r="I23" s="897">
        <f t="shared" si="1"/>
        <v>0</v>
      </c>
      <c r="J23" s="903"/>
      <c r="K23" s="903"/>
      <c r="L23" s="903"/>
    </row>
    <row r="24" spans="1:12" ht="47.25" x14ac:dyDescent="0.25">
      <c r="A24" s="887"/>
      <c r="B24" s="900" t="s">
        <v>682</v>
      </c>
      <c r="C24" s="908" t="s">
        <v>62</v>
      </c>
      <c r="D24" s="901" t="s">
        <v>543</v>
      </c>
      <c r="E24" s="896">
        <f t="shared" si="0"/>
        <v>1752</v>
      </c>
      <c r="F24" s="902"/>
      <c r="G24" s="903">
        <v>1752</v>
      </c>
      <c r="H24" s="903"/>
      <c r="I24" s="897">
        <f t="shared" si="1"/>
        <v>1100.99</v>
      </c>
      <c r="J24" s="903">
        <v>90.09</v>
      </c>
      <c r="K24" s="903"/>
      <c r="L24" s="903">
        <v>1010.9</v>
      </c>
    </row>
    <row r="25" spans="1:12" ht="78.75" x14ac:dyDescent="0.25">
      <c r="A25" s="887" t="s">
        <v>427</v>
      </c>
      <c r="B25" s="900" t="s">
        <v>430</v>
      </c>
      <c r="C25" s="908" t="s">
        <v>62</v>
      </c>
      <c r="D25" s="901" t="s">
        <v>543</v>
      </c>
      <c r="E25" s="896">
        <f t="shared" si="0"/>
        <v>1714.58</v>
      </c>
      <c r="F25" s="896">
        <f t="shared" ref="F25:L25" si="2">F26+F27+F28</f>
        <v>0</v>
      </c>
      <c r="G25" s="896">
        <f t="shared" si="2"/>
        <v>1714.58</v>
      </c>
      <c r="H25" s="896">
        <f t="shared" si="2"/>
        <v>0</v>
      </c>
      <c r="I25" s="896">
        <f t="shared" si="2"/>
        <v>213.00899999999999</v>
      </c>
      <c r="J25" s="896">
        <f t="shared" si="2"/>
        <v>0</v>
      </c>
      <c r="K25" s="896">
        <f t="shared" si="2"/>
        <v>213.00899999999999</v>
      </c>
      <c r="L25" s="896">
        <f t="shared" si="2"/>
        <v>0</v>
      </c>
    </row>
    <row r="26" spans="1:12" ht="63" x14ac:dyDescent="0.25">
      <c r="A26" s="887"/>
      <c r="B26" s="900" t="s">
        <v>619</v>
      </c>
      <c r="C26" s="908" t="s">
        <v>62</v>
      </c>
      <c r="D26" s="901" t="s">
        <v>543</v>
      </c>
      <c r="E26" s="896">
        <f t="shared" si="0"/>
        <v>0</v>
      </c>
      <c r="F26" s="902"/>
      <c r="G26" s="903"/>
      <c r="H26" s="903"/>
      <c r="I26" s="897">
        <f t="shared" si="1"/>
        <v>0</v>
      </c>
      <c r="J26" s="903"/>
      <c r="K26" s="903"/>
      <c r="L26" s="903"/>
    </row>
    <row r="27" spans="1:12" ht="94.5" x14ac:dyDescent="0.25">
      <c r="A27" s="887"/>
      <c r="B27" s="900" t="s">
        <v>620</v>
      </c>
      <c r="C27" s="908" t="s">
        <v>62</v>
      </c>
      <c r="D27" s="901" t="s">
        <v>543</v>
      </c>
      <c r="E27" s="896">
        <f t="shared" si="0"/>
        <v>1714.58</v>
      </c>
      <c r="F27" s="902"/>
      <c r="G27" s="903">
        <v>1714.58</v>
      </c>
      <c r="H27" s="903"/>
      <c r="I27" s="897">
        <f t="shared" si="1"/>
        <v>213.00899999999999</v>
      </c>
      <c r="J27" s="903"/>
      <c r="K27" s="903">
        <v>213.00899999999999</v>
      </c>
      <c r="L27" s="903"/>
    </row>
    <row r="28" spans="1:12" ht="94.5" x14ac:dyDescent="0.25">
      <c r="A28" s="887"/>
      <c r="B28" s="900" t="s">
        <v>621</v>
      </c>
      <c r="C28" s="908" t="s">
        <v>62</v>
      </c>
      <c r="D28" s="901" t="s">
        <v>543</v>
      </c>
      <c r="E28" s="896">
        <f t="shared" si="0"/>
        <v>0</v>
      </c>
      <c r="F28" s="902"/>
      <c r="G28" s="903"/>
      <c r="H28" s="903"/>
      <c r="I28" s="897">
        <f t="shared" si="1"/>
        <v>0</v>
      </c>
      <c r="J28" s="903"/>
      <c r="K28" s="903"/>
      <c r="L28" s="903"/>
    </row>
    <row r="29" spans="1:12" ht="189" x14ac:dyDescent="0.25">
      <c r="A29" s="887" t="s">
        <v>283</v>
      </c>
      <c r="B29" s="943" t="s">
        <v>432</v>
      </c>
      <c r="C29" s="944" t="s">
        <v>585</v>
      </c>
      <c r="D29" s="945" t="s">
        <v>543</v>
      </c>
      <c r="E29" s="946">
        <f t="shared" si="0"/>
        <v>450</v>
      </c>
      <c r="F29" s="947"/>
      <c r="G29" s="947"/>
      <c r="H29" s="947">
        <v>450</v>
      </c>
      <c r="I29" s="897">
        <f t="shared" si="1"/>
        <v>0</v>
      </c>
      <c r="J29" s="903"/>
      <c r="K29" s="903"/>
      <c r="L29" s="903"/>
    </row>
    <row r="30" spans="1:12" ht="94.5" x14ac:dyDescent="0.25">
      <c r="A30" s="892" t="s">
        <v>78</v>
      </c>
      <c r="B30" s="910" t="s">
        <v>77</v>
      </c>
      <c r="C30" s="894"/>
      <c r="D30" s="895"/>
      <c r="E30" s="896">
        <f t="shared" si="0"/>
        <v>7669.91</v>
      </c>
      <c r="F30" s="896">
        <f>F31+F32+F33+F37+F38</f>
        <v>0</v>
      </c>
      <c r="G30" s="897">
        <f>G31+G32+G33+G37+G38</f>
        <v>6664.46</v>
      </c>
      <c r="H30" s="897">
        <f>H31+H32+H33+H37+H38</f>
        <v>1005.45</v>
      </c>
      <c r="I30" s="897">
        <f t="shared" si="1"/>
        <v>4523.3999999999996</v>
      </c>
      <c r="J30" s="897">
        <f>J31+J32+J33+J37+J38</f>
        <v>0</v>
      </c>
      <c r="K30" s="897">
        <f>K31+K32+K33+K37+K38</f>
        <v>0</v>
      </c>
      <c r="L30" s="897">
        <f>L31+L32+L33+L37+L38</f>
        <v>4523.3999999999996</v>
      </c>
    </row>
    <row r="31" spans="1:12" ht="110.25" x14ac:dyDescent="0.25">
      <c r="A31" s="887" t="s">
        <v>296</v>
      </c>
      <c r="B31" s="900" t="s">
        <v>433</v>
      </c>
      <c r="C31" s="888" t="s">
        <v>553</v>
      </c>
      <c r="D31" s="899" t="s">
        <v>543</v>
      </c>
      <c r="E31" s="896">
        <f t="shared" si="0"/>
        <v>6627.86</v>
      </c>
      <c r="F31" s="902"/>
      <c r="G31" s="903">
        <v>6627.86</v>
      </c>
      <c r="H31" s="903"/>
      <c r="I31" s="897">
        <f t="shared" si="1"/>
        <v>3152.6</v>
      </c>
      <c r="J31" s="903"/>
      <c r="K31" s="903"/>
      <c r="L31" s="903">
        <v>3152.6</v>
      </c>
    </row>
    <row r="32" spans="1:12" ht="141.75" x14ac:dyDescent="0.25">
      <c r="A32" s="887" t="s">
        <v>297</v>
      </c>
      <c r="B32" s="900" t="s">
        <v>554</v>
      </c>
      <c r="C32" s="888" t="s">
        <v>62</v>
      </c>
      <c r="D32" s="899" t="s">
        <v>543</v>
      </c>
      <c r="E32" s="896">
        <f t="shared" si="0"/>
        <v>0</v>
      </c>
      <c r="F32" s="902"/>
      <c r="G32" s="903"/>
      <c r="H32" s="903"/>
      <c r="I32" s="897">
        <f t="shared" si="1"/>
        <v>0</v>
      </c>
      <c r="J32" s="903"/>
      <c r="K32" s="903"/>
      <c r="L32" s="903"/>
    </row>
    <row r="33" spans="1:14" ht="113.25" customHeight="1" x14ac:dyDescent="0.25">
      <c r="A33" s="887" t="s">
        <v>298</v>
      </c>
      <c r="B33" s="911" t="s">
        <v>446</v>
      </c>
      <c r="C33" s="888" t="s">
        <v>555</v>
      </c>
      <c r="D33" s="901" t="s">
        <v>543</v>
      </c>
      <c r="E33" s="896">
        <f t="shared" si="0"/>
        <v>967.2</v>
      </c>
      <c r="F33" s="896">
        <f>SUM(F34:F36)</f>
        <v>0</v>
      </c>
      <c r="G33" s="897">
        <f>SUM(G34:G36)</f>
        <v>0</v>
      </c>
      <c r="H33" s="897">
        <f>SUM(H34:H36)</f>
        <v>967.2</v>
      </c>
      <c r="I33" s="897">
        <f t="shared" si="1"/>
        <v>1370.8</v>
      </c>
      <c r="J33" s="897">
        <f>SUM(J34:J36)</f>
        <v>0</v>
      </c>
      <c r="K33" s="897">
        <f>SUM(K34:K36)</f>
        <v>0</v>
      </c>
      <c r="L33" s="897">
        <f>SUM(L34:L36)</f>
        <v>1370.8</v>
      </c>
    </row>
    <row r="34" spans="1:14" ht="126" x14ac:dyDescent="0.25">
      <c r="A34" s="887"/>
      <c r="B34" s="898" t="s">
        <v>622</v>
      </c>
      <c r="C34" s="888" t="s">
        <v>51</v>
      </c>
      <c r="D34" s="901" t="s">
        <v>543</v>
      </c>
      <c r="E34" s="896">
        <f t="shared" si="0"/>
        <v>520</v>
      </c>
      <c r="F34" s="902"/>
      <c r="G34" s="903"/>
      <c r="H34" s="903">
        <v>520</v>
      </c>
      <c r="I34" s="897">
        <f t="shared" si="1"/>
        <v>1370.8</v>
      </c>
      <c r="J34" s="903"/>
      <c r="K34" s="903"/>
      <c r="L34" s="903">
        <v>1370.8</v>
      </c>
      <c r="N34" s="859"/>
    </row>
    <row r="35" spans="1:14" ht="110.25" x14ac:dyDescent="0.25">
      <c r="A35" s="887"/>
      <c r="B35" s="911" t="s">
        <v>623</v>
      </c>
      <c r="C35" s="909" t="s">
        <v>555</v>
      </c>
      <c r="D35" s="901" t="s">
        <v>543</v>
      </c>
      <c r="E35" s="896">
        <f t="shared" si="0"/>
        <v>171.1</v>
      </c>
      <c r="F35" s="902"/>
      <c r="G35" s="903"/>
      <c r="H35" s="903">
        <v>171.1</v>
      </c>
      <c r="I35" s="897">
        <f t="shared" si="1"/>
        <v>0</v>
      </c>
      <c r="J35" s="903"/>
      <c r="K35" s="903"/>
      <c r="L35" s="903"/>
    </row>
    <row r="36" spans="1:14" ht="78.75" x14ac:dyDescent="0.25">
      <c r="A36" s="887"/>
      <c r="B36" s="898" t="s">
        <v>624</v>
      </c>
      <c r="C36" s="909" t="s">
        <v>51</v>
      </c>
      <c r="D36" s="901" t="s">
        <v>543</v>
      </c>
      <c r="E36" s="896">
        <f t="shared" si="0"/>
        <v>276.10000000000002</v>
      </c>
      <c r="F36" s="902"/>
      <c r="G36" s="903"/>
      <c r="H36" s="903">
        <v>276.10000000000002</v>
      </c>
      <c r="I36" s="897">
        <f t="shared" si="1"/>
        <v>0</v>
      </c>
      <c r="J36" s="903"/>
      <c r="K36" s="903"/>
      <c r="L36" s="903"/>
    </row>
    <row r="37" spans="1:14" ht="78.75" x14ac:dyDescent="0.25">
      <c r="A37" s="887" t="s">
        <v>299</v>
      </c>
      <c r="B37" s="898" t="s">
        <v>556</v>
      </c>
      <c r="C37" s="909" t="s">
        <v>62</v>
      </c>
      <c r="D37" s="901" t="s">
        <v>543</v>
      </c>
      <c r="E37" s="896">
        <f t="shared" si="0"/>
        <v>0</v>
      </c>
      <c r="F37" s="902"/>
      <c r="G37" s="903"/>
      <c r="H37" s="903"/>
      <c r="I37" s="897">
        <f t="shared" si="1"/>
        <v>0</v>
      </c>
      <c r="J37" s="903"/>
      <c r="K37" s="903"/>
      <c r="L37" s="903"/>
    </row>
    <row r="38" spans="1:14" ht="110.25" x14ac:dyDescent="0.25">
      <c r="A38" s="912" t="s">
        <v>306</v>
      </c>
      <c r="B38" s="913" t="s">
        <v>557</v>
      </c>
      <c r="C38" s="888" t="s">
        <v>555</v>
      </c>
      <c r="D38" s="901" t="s">
        <v>543</v>
      </c>
      <c r="E38" s="896">
        <f t="shared" si="0"/>
        <v>74.849999999999994</v>
      </c>
      <c r="F38" s="896">
        <f>F39+F40</f>
        <v>0</v>
      </c>
      <c r="G38" s="896">
        <f>G39+G40</f>
        <v>36.6</v>
      </c>
      <c r="H38" s="896">
        <f>H39+H40</f>
        <v>38.25</v>
      </c>
      <c r="I38" s="897">
        <f t="shared" si="1"/>
        <v>0</v>
      </c>
      <c r="J38" s="896">
        <f>J39+J40</f>
        <v>0</v>
      </c>
      <c r="K38" s="896">
        <f>K39+K40</f>
        <v>0</v>
      </c>
      <c r="L38" s="896">
        <f>L39+L40</f>
        <v>0</v>
      </c>
    </row>
    <row r="39" spans="1:14" ht="78.75" x14ac:dyDescent="0.25">
      <c r="A39" s="887"/>
      <c r="B39" s="898" t="s">
        <v>625</v>
      </c>
      <c r="C39" s="888" t="s">
        <v>59</v>
      </c>
      <c r="D39" s="899" t="s">
        <v>543</v>
      </c>
      <c r="E39" s="896">
        <f t="shared" si="0"/>
        <v>36.6</v>
      </c>
      <c r="F39" s="902"/>
      <c r="G39" s="903">
        <v>36.6</v>
      </c>
      <c r="H39" s="903"/>
      <c r="I39" s="897">
        <f t="shared" si="1"/>
        <v>0</v>
      </c>
      <c r="J39" s="903"/>
      <c r="K39" s="903"/>
      <c r="L39" s="903"/>
    </row>
    <row r="40" spans="1:14" ht="63" x14ac:dyDescent="0.25">
      <c r="A40" s="887"/>
      <c r="B40" s="898" t="s">
        <v>626</v>
      </c>
      <c r="C40" s="888" t="s">
        <v>558</v>
      </c>
      <c r="D40" s="899" t="s">
        <v>543</v>
      </c>
      <c r="E40" s="896">
        <f t="shared" si="0"/>
        <v>38.25</v>
      </c>
      <c r="F40" s="902"/>
      <c r="G40" s="903"/>
      <c r="H40" s="903">
        <v>38.25</v>
      </c>
      <c r="I40" s="897">
        <f t="shared" si="1"/>
        <v>0</v>
      </c>
      <c r="J40" s="903"/>
      <c r="K40" s="903"/>
      <c r="L40" s="903"/>
    </row>
    <row r="41" spans="1:14" ht="63" x14ac:dyDescent="0.25">
      <c r="A41" s="914" t="s">
        <v>559</v>
      </c>
      <c r="B41" s="915" t="s">
        <v>561</v>
      </c>
      <c r="C41" s="916"/>
      <c r="D41" s="917"/>
      <c r="E41" s="896">
        <f t="shared" si="0"/>
        <v>23371.07</v>
      </c>
      <c r="F41" s="896">
        <f>F42+F48+F49+F55+F61</f>
        <v>0</v>
      </c>
      <c r="G41" s="897">
        <f>G42+G48+G49+G55+G61</f>
        <v>8241.07</v>
      </c>
      <c r="H41" s="897">
        <f>H42+H48+H49+H55+H61</f>
        <v>15130</v>
      </c>
      <c r="I41" s="897">
        <f t="shared" si="1"/>
        <v>301.2</v>
      </c>
      <c r="J41" s="897">
        <f>J42+J48+J49+J55+J61</f>
        <v>0</v>
      </c>
      <c r="K41" s="897">
        <f>K42+K48+K49+K55+K61</f>
        <v>0</v>
      </c>
      <c r="L41" s="897">
        <f>L42+L48+L49+L55+L61</f>
        <v>301.2</v>
      </c>
    </row>
    <row r="42" spans="1:14" ht="173.25" x14ac:dyDescent="0.25">
      <c r="A42" s="887" t="s">
        <v>562</v>
      </c>
      <c r="B42" s="898" t="s">
        <v>455</v>
      </c>
      <c r="C42" s="888" t="s">
        <v>59</v>
      </c>
      <c r="D42" s="899" t="s">
        <v>543</v>
      </c>
      <c r="E42" s="896">
        <f t="shared" si="0"/>
        <v>15627.42</v>
      </c>
      <c r="F42" s="896">
        <f>SUM(F43:F47)</f>
        <v>0</v>
      </c>
      <c r="G42" s="897">
        <f>SUM(G43:G47)</f>
        <v>747.42</v>
      </c>
      <c r="H42" s="897">
        <f>SUM(H43:H47)</f>
        <v>14880</v>
      </c>
      <c r="I42" s="897">
        <f t="shared" si="1"/>
        <v>301.2</v>
      </c>
      <c r="J42" s="897">
        <f>SUM(J43:J47)</f>
        <v>0</v>
      </c>
      <c r="K42" s="897">
        <f>SUM(K43:K47)</f>
        <v>0</v>
      </c>
      <c r="L42" s="897">
        <f>SUM(L43:L47)</f>
        <v>301.2</v>
      </c>
    </row>
    <row r="43" spans="1:14" ht="110.25" x14ac:dyDescent="0.25">
      <c r="A43" s="887"/>
      <c r="B43" s="898" t="s">
        <v>627</v>
      </c>
      <c r="C43" s="888" t="s">
        <v>59</v>
      </c>
      <c r="D43" s="899" t="s">
        <v>543</v>
      </c>
      <c r="E43" s="896">
        <f t="shared" si="0"/>
        <v>747.42</v>
      </c>
      <c r="F43" s="902"/>
      <c r="G43" s="903">
        <v>747.42</v>
      </c>
      <c r="H43" s="903"/>
      <c r="I43" s="897">
        <f t="shared" si="1"/>
        <v>0</v>
      </c>
      <c r="J43" s="903"/>
      <c r="K43" s="903"/>
      <c r="L43" s="903"/>
    </row>
    <row r="44" spans="1:14" ht="126" x14ac:dyDescent="0.25">
      <c r="A44" s="892"/>
      <c r="B44" s="898" t="s">
        <v>628</v>
      </c>
      <c r="C44" s="888" t="s">
        <v>59</v>
      </c>
      <c r="D44" s="899" t="s">
        <v>543</v>
      </c>
      <c r="E44" s="896">
        <f t="shared" si="0"/>
        <v>0</v>
      </c>
      <c r="F44" s="902"/>
      <c r="G44" s="903"/>
      <c r="H44" s="903"/>
      <c r="I44" s="897">
        <f t="shared" si="1"/>
        <v>0</v>
      </c>
      <c r="J44" s="903"/>
      <c r="K44" s="903"/>
      <c r="L44" s="903"/>
    </row>
    <row r="45" spans="1:14" ht="78.75" x14ac:dyDescent="0.25">
      <c r="A45" s="887"/>
      <c r="B45" s="898" t="s">
        <v>629</v>
      </c>
      <c r="C45" s="888" t="s">
        <v>59</v>
      </c>
      <c r="D45" s="899" t="s">
        <v>543</v>
      </c>
      <c r="E45" s="896">
        <f t="shared" si="0"/>
        <v>0</v>
      </c>
      <c r="F45" s="902"/>
      <c r="G45" s="903"/>
      <c r="H45" s="903"/>
      <c r="I45" s="897">
        <f t="shared" si="1"/>
        <v>0</v>
      </c>
      <c r="J45" s="903"/>
      <c r="K45" s="903"/>
      <c r="L45" s="903"/>
    </row>
    <row r="46" spans="1:14" ht="189" x14ac:dyDescent="0.25">
      <c r="A46" s="887"/>
      <c r="B46" s="898" t="s">
        <v>630</v>
      </c>
      <c r="C46" s="888" t="s">
        <v>560</v>
      </c>
      <c r="D46" s="899" t="s">
        <v>543</v>
      </c>
      <c r="E46" s="896">
        <f t="shared" si="0"/>
        <v>14880</v>
      </c>
      <c r="F46" s="902"/>
      <c r="G46" s="903"/>
      <c r="H46" s="903">
        <v>14880</v>
      </c>
      <c r="I46" s="897">
        <f t="shared" si="1"/>
        <v>301.2</v>
      </c>
      <c r="J46" s="903"/>
      <c r="K46" s="903"/>
      <c r="L46" s="903">
        <v>301.2</v>
      </c>
    </row>
    <row r="47" spans="1:14" ht="78.75" x14ac:dyDescent="0.25">
      <c r="A47" s="887"/>
      <c r="B47" s="898" t="s">
        <v>631</v>
      </c>
      <c r="C47" s="888" t="s">
        <v>62</v>
      </c>
      <c r="D47" s="899" t="s">
        <v>543</v>
      </c>
      <c r="E47" s="896">
        <f t="shared" si="0"/>
        <v>0</v>
      </c>
      <c r="F47" s="902"/>
      <c r="G47" s="903"/>
      <c r="H47" s="903"/>
      <c r="I47" s="897">
        <f t="shared" si="1"/>
        <v>0</v>
      </c>
      <c r="J47" s="903"/>
      <c r="K47" s="903"/>
      <c r="L47" s="903"/>
    </row>
    <row r="48" spans="1:14" ht="94.5" x14ac:dyDescent="0.25">
      <c r="A48" s="887" t="s">
        <v>329</v>
      </c>
      <c r="B48" s="911" t="s">
        <v>478</v>
      </c>
      <c r="C48" s="888" t="s">
        <v>62</v>
      </c>
      <c r="D48" s="901" t="s">
        <v>543</v>
      </c>
      <c r="E48" s="896">
        <f t="shared" si="0"/>
        <v>929.36</v>
      </c>
      <c r="F48" s="902"/>
      <c r="G48" s="903">
        <v>929.36</v>
      </c>
      <c r="H48" s="903"/>
      <c r="I48" s="897">
        <f t="shared" si="1"/>
        <v>0</v>
      </c>
      <c r="J48" s="903"/>
      <c r="K48" s="903"/>
      <c r="L48" s="903"/>
    </row>
    <row r="49" spans="1:12" ht="173.25" x14ac:dyDescent="0.25">
      <c r="A49" s="892" t="s">
        <v>333</v>
      </c>
      <c r="B49" s="893" t="s">
        <v>563</v>
      </c>
      <c r="C49" s="894" t="s">
        <v>62</v>
      </c>
      <c r="D49" s="905" t="s">
        <v>543</v>
      </c>
      <c r="E49" s="896">
        <f t="shared" si="0"/>
        <v>1746.78</v>
      </c>
      <c r="F49" s="918">
        <f>SUM(F50:F54)</f>
        <v>0</v>
      </c>
      <c r="G49" s="918">
        <f>SUM(G50:G54)</f>
        <v>1746.78</v>
      </c>
      <c r="H49" s="918">
        <f>SUM(H50:H54)</f>
        <v>0</v>
      </c>
      <c r="I49" s="897">
        <f t="shared" si="1"/>
        <v>0</v>
      </c>
      <c r="J49" s="918">
        <f>SUM(J50:J54)</f>
        <v>0</v>
      </c>
      <c r="K49" s="918">
        <f>SUM(K50:K54)</f>
        <v>0</v>
      </c>
      <c r="L49" s="918">
        <f>SUM(L50:L54)</f>
        <v>0</v>
      </c>
    </row>
    <row r="50" spans="1:12" ht="47.25" x14ac:dyDescent="0.25">
      <c r="A50" s="887"/>
      <c r="B50" s="911" t="s">
        <v>632</v>
      </c>
      <c r="C50" s="888" t="s">
        <v>62</v>
      </c>
      <c r="D50" s="899" t="s">
        <v>543</v>
      </c>
      <c r="E50" s="896">
        <f t="shared" si="0"/>
        <v>38.61</v>
      </c>
      <c r="F50" s="902"/>
      <c r="G50" s="903">
        <v>38.61</v>
      </c>
      <c r="H50" s="903"/>
      <c r="I50" s="897">
        <f t="shared" si="1"/>
        <v>0</v>
      </c>
      <c r="J50" s="903"/>
      <c r="K50" s="903"/>
      <c r="L50" s="903"/>
    </row>
    <row r="51" spans="1:12" ht="47.25" x14ac:dyDescent="0.25">
      <c r="A51" s="887"/>
      <c r="B51" s="911" t="s">
        <v>633</v>
      </c>
      <c r="C51" s="888" t="s">
        <v>62</v>
      </c>
      <c r="D51" s="899" t="s">
        <v>543</v>
      </c>
      <c r="E51" s="896">
        <f t="shared" si="0"/>
        <v>19.87</v>
      </c>
      <c r="F51" s="902"/>
      <c r="G51" s="903">
        <v>19.87</v>
      </c>
      <c r="H51" s="903"/>
      <c r="I51" s="897">
        <f t="shared" si="1"/>
        <v>0</v>
      </c>
      <c r="J51" s="903"/>
      <c r="K51" s="903"/>
      <c r="L51" s="903"/>
    </row>
    <row r="52" spans="1:12" ht="47.25" x14ac:dyDescent="0.25">
      <c r="A52" s="887"/>
      <c r="B52" s="911" t="s">
        <v>634</v>
      </c>
      <c r="C52" s="888" t="s">
        <v>62</v>
      </c>
      <c r="D52" s="899" t="s">
        <v>543</v>
      </c>
      <c r="E52" s="896">
        <f t="shared" si="0"/>
        <v>334.52</v>
      </c>
      <c r="F52" s="902"/>
      <c r="G52" s="903">
        <v>334.52</v>
      </c>
      <c r="H52" s="903"/>
      <c r="I52" s="897">
        <f t="shared" si="1"/>
        <v>0</v>
      </c>
      <c r="J52" s="903"/>
      <c r="K52" s="903"/>
      <c r="L52" s="903"/>
    </row>
    <row r="53" spans="1:12" ht="47.25" x14ac:dyDescent="0.25">
      <c r="A53" s="887"/>
      <c r="B53" s="911" t="s">
        <v>635</v>
      </c>
      <c r="C53" s="888" t="s">
        <v>62</v>
      </c>
      <c r="D53" s="899" t="s">
        <v>543</v>
      </c>
      <c r="E53" s="896">
        <f t="shared" si="0"/>
        <v>1108.98</v>
      </c>
      <c r="F53" s="902"/>
      <c r="G53" s="903">
        <v>1108.98</v>
      </c>
      <c r="H53" s="903"/>
      <c r="I53" s="897">
        <f t="shared" si="1"/>
        <v>0</v>
      </c>
      <c r="J53" s="903"/>
      <c r="K53" s="903"/>
      <c r="L53" s="903"/>
    </row>
    <row r="54" spans="1:12" ht="63" x14ac:dyDescent="0.25">
      <c r="A54" s="887"/>
      <c r="B54" s="911" t="s">
        <v>636</v>
      </c>
      <c r="C54" s="888" t="s">
        <v>62</v>
      </c>
      <c r="D54" s="899" t="s">
        <v>543</v>
      </c>
      <c r="E54" s="896">
        <f t="shared" si="0"/>
        <v>244.8</v>
      </c>
      <c r="F54" s="902"/>
      <c r="G54" s="903">
        <v>244.8</v>
      </c>
      <c r="H54" s="903"/>
      <c r="I54" s="897">
        <f t="shared" si="1"/>
        <v>0</v>
      </c>
      <c r="J54" s="903"/>
      <c r="K54" s="903"/>
      <c r="L54" s="903"/>
    </row>
    <row r="55" spans="1:12" ht="78.75" x14ac:dyDescent="0.25">
      <c r="A55" s="892" t="s">
        <v>339</v>
      </c>
      <c r="B55" s="893" t="s">
        <v>604</v>
      </c>
      <c r="C55" s="894" t="s">
        <v>62</v>
      </c>
      <c r="D55" s="895" t="s">
        <v>543</v>
      </c>
      <c r="E55" s="896">
        <f t="shared" si="0"/>
        <v>4817.51</v>
      </c>
      <c r="F55" s="896">
        <f>SUM(F56:F60)</f>
        <v>0</v>
      </c>
      <c r="G55" s="896">
        <f>SUM(G56:G60)</f>
        <v>4817.51</v>
      </c>
      <c r="H55" s="896">
        <f>SUM(H56:H60)</f>
        <v>0</v>
      </c>
      <c r="I55" s="897">
        <f t="shared" si="1"/>
        <v>0</v>
      </c>
      <c r="J55" s="897">
        <f>SUM(J56:J60)</f>
        <v>0</v>
      </c>
      <c r="K55" s="897">
        <f>SUM(K56:K60)</f>
        <v>0</v>
      </c>
      <c r="L55" s="897">
        <f>SUM(L56:L60)</f>
        <v>0</v>
      </c>
    </row>
    <row r="56" spans="1:12" ht="47.25" x14ac:dyDescent="0.25">
      <c r="A56" s="887"/>
      <c r="B56" s="898" t="s">
        <v>637</v>
      </c>
      <c r="C56" s="888" t="s">
        <v>62</v>
      </c>
      <c r="D56" s="899" t="s">
        <v>543</v>
      </c>
      <c r="E56" s="896">
        <f t="shared" si="0"/>
        <v>270</v>
      </c>
      <c r="F56" s="902"/>
      <c r="G56" s="903">
        <v>270</v>
      </c>
      <c r="H56" s="903"/>
      <c r="I56" s="897">
        <f t="shared" si="1"/>
        <v>0</v>
      </c>
      <c r="J56" s="903"/>
      <c r="K56" s="903"/>
      <c r="L56" s="903"/>
    </row>
    <row r="57" spans="1:12" ht="47.25" x14ac:dyDescent="0.25">
      <c r="A57" s="887"/>
      <c r="B57" s="898" t="s">
        <v>638</v>
      </c>
      <c r="C57" s="888" t="s">
        <v>62</v>
      </c>
      <c r="D57" s="899" t="s">
        <v>543</v>
      </c>
      <c r="E57" s="896">
        <f t="shared" si="0"/>
        <v>486</v>
      </c>
      <c r="F57" s="902"/>
      <c r="G57" s="903">
        <v>486</v>
      </c>
      <c r="H57" s="903"/>
      <c r="I57" s="897">
        <f t="shared" si="1"/>
        <v>0</v>
      </c>
      <c r="J57" s="903"/>
      <c r="K57" s="903"/>
      <c r="L57" s="903"/>
    </row>
    <row r="58" spans="1:12" ht="47.25" x14ac:dyDescent="0.25">
      <c r="A58" s="887"/>
      <c r="B58" s="898" t="s">
        <v>639</v>
      </c>
      <c r="C58" s="888" t="s">
        <v>62</v>
      </c>
      <c r="D58" s="899" t="s">
        <v>543</v>
      </c>
      <c r="E58" s="896">
        <f t="shared" si="0"/>
        <v>44.55</v>
      </c>
      <c r="F58" s="902"/>
      <c r="G58" s="903">
        <v>44.55</v>
      </c>
      <c r="H58" s="903"/>
      <c r="I58" s="897">
        <f t="shared" si="1"/>
        <v>0</v>
      </c>
      <c r="J58" s="903"/>
      <c r="K58" s="903"/>
      <c r="L58" s="903"/>
    </row>
    <row r="59" spans="1:12" ht="47.25" x14ac:dyDescent="0.25">
      <c r="A59" s="887"/>
      <c r="B59" s="898" t="s">
        <v>640</v>
      </c>
      <c r="C59" s="888" t="s">
        <v>62</v>
      </c>
      <c r="D59" s="899" t="s">
        <v>543</v>
      </c>
      <c r="E59" s="896">
        <f t="shared" si="0"/>
        <v>52.8</v>
      </c>
      <c r="F59" s="902"/>
      <c r="G59" s="903">
        <v>52.8</v>
      </c>
      <c r="H59" s="903"/>
      <c r="I59" s="897">
        <f t="shared" si="1"/>
        <v>0</v>
      </c>
      <c r="J59" s="903"/>
      <c r="K59" s="903"/>
      <c r="L59" s="903"/>
    </row>
    <row r="60" spans="1:12" ht="47.25" x14ac:dyDescent="0.25">
      <c r="A60" s="887"/>
      <c r="B60" s="898" t="s">
        <v>641</v>
      </c>
      <c r="C60" s="888" t="s">
        <v>62</v>
      </c>
      <c r="D60" s="899" t="s">
        <v>543</v>
      </c>
      <c r="E60" s="896">
        <f t="shared" si="0"/>
        <v>3964.16</v>
      </c>
      <c r="F60" s="902"/>
      <c r="G60" s="903">
        <v>3964.16</v>
      </c>
      <c r="H60" s="903"/>
      <c r="I60" s="897">
        <f t="shared" si="1"/>
        <v>0</v>
      </c>
      <c r="J60" s="903"/>
      <c r="K60" s="903"/>
      <c r="L60" s="903"/>
    </row>
    <row r="61" spans="1:12" ht="173.25" x14ac:dyDescent="0.25">
      <c r="A61" s="887" t="s">
        <v>343</v>
      </c>
      <c r="B61" s="898" t="s">
        <v>495</v>
      </c>
      <c r="C61" s="888" t="s">
        <v>62</v>
      </c>
      <c r="D61" s="899" t="s">
        <v>543</v>
      </c>
      <c r="E61" s="896">
        <f t="shared" si="0"/>
        <v>250</v>
      </c>
      <c r="F61" s="902"/>
      <c r="G61" s="903"/>
      <c r="H61" s="903">
        <v>250</v>
      </c>
      <c r="I61" s="897">
        <f t="shared" si="1"/>
        <v>0</v>
      </c>
      <c r="J61" s="903"/>
      <c r="K61" s="903"/>
      <c r="L61" s="903"/>
    </row>
    <row r="62" spans="1:12" ht="63" x14ac:dyDescent="0.25">
      <c r="A62" s="892" t="s">
        <v>132</v>
      </c>
      <c r="B62" s="893" t="s">
        <v>131</v>
      </c>
      <c r="C62" s="894"/>
      <c r="D62" s="895"/>
      <c r="E62" s="896">
        <f t="shared" si="0"/>
        <v>152935</v>
      </c>
      <c r="F62" s="896">
        <f>SUM(F63+F67+F70+F71)</f>
        <v>0</v>
      </c>
      <c r="G62" s="897">
        <f>SUM(G63+G67+G70+G71)</f>
        <v>0</v>
      </c>
      <c r="H62" s="897">
        <f>SUM(H63+H67+H70+H71)</f>
        <v>152935</v>
      </c>
      <c r="I62" s="897">
        <f t="shared" si="1"/>
        <v>35974.61</v>
      </c>
      <c r="J62" s="897">
        <f>SUM(J63+J67+J70+J71)</f>
        <v>25609.5</v>
      </c>
      <c r="K62" s="897">
        <f>SUM(K63+K67+K70+K71)</f>
        <v>0</v>
      </c>
      <c r="L62" s="897">
        <f>SUM(L63+L67+L70+L71)</f>
        <v>10365.11</v>
      </c>
    </row>
    <row r="63" spans="1:12" ht="94.5" x14ac:dyDescent="0.25">
      <c r="A63" s="892" t="s">
        <v>570</v>
      </c>
      <c r="B63" s="893" t="s">
        <v>571</v>
      </c>
      <c r="C63" s="894" t="s">
        <v>62</v>
      </c>
      <c r="D63" s="895" t="s">
        <v>543</v>
      </c>
      <c r="E63" s="896">
        <f t="shared" si="0"/>
        <v>144144</v>
      </c>
      <c r="F63" s="896">
        <f>SUM(F64:F66)</f>
        <v>0</v>
      </c>
      <c r="G63" s="897">
        <f>SUM(G64:G66)</f>
        <v>0</v>
      </c>
      <c r="H63" s="897">
        <f>SUM(H64:H66)</f>
        <v>144144</v>
      </c>
      <c r="I63" s="897">
        <f t="shared" si="1"/>
        <v>34506.53</v>
      </c>
      <c r="J63" s="897">
        <f>SUM(J64:J66)</f>
        <v>25609.5</v>
      </c>
      <c r="K63" s="897">
        <f>SUM(K64:K66)</f>
        <v>0</v>
      </c>
      <c r="L63" s="897">
        <f>SUM(L64:L66)</f>
        <v>8897.0300000000007</v>
      </c>
    </row>
    <row r="64" spans="1:12" ht="141.75" x14ac:dyDescent="0.25">
      <c r="A64" s="887"/>
      <c r="B64" s="898" t="s">
        <v>642</v>
      </c>
      <c r="C64" s="888" t="s">
        <v>62</v>
      </c>
      <c r="D64" s="899" t="s">
        <v>543</v>
      </c>
      <c r="E64" s="896">
        <f t="shared" si="0"/>
        <v>144144</v>
      </c>
      <c r="F64" s="902"/>
      <c r="G64" s="903"/>
      <c r="H64" s="903">
        <v>144144</v>
      </c>
      <c r="I64" s="897">
        <f t="shared" si="1"/>
        <v>34506.53</v>
      </c>
      <c r="J64" s="903">
        <v>25609.5</v>
      </c>
      <c r="K64" s="903"/>
      <c r="L64" s="903">
        <v>8897.0300000000007</v>
      </c>
    </row>
    <row r="65" spans="1:12" ht="110.25" x14ac:dyDescent="0.25">
      <c r="A65" s="887"/>
      <c r="B65" s="898" t="s">
        <v>643</v>
      </c>
      <c r="C65" s="888" t="s">
        <v>62</v>
      </c>
      <c r="D65" s="899" t="s">
        <v>543</v>
      </c>
      <c r="E65" s="896">
        <f t="shared" si="0"/>
        <v>0</v>
      </c>
      <c r="F65" s="902"/>
      <c r="G65" s="903"/>
      <c r="H65" s="903"/>
      <c r="I65" s="897">
        <f t="shared" si="1"/>
        <v>0</v>
      </c>
      <c r="J65" s="903"/>
      <c r="K65" s="903"/>
      <c r="L65" s="903"/>
    </row>
    <row r="66" spans="1:12" ht="78.75" x14ac:dyDescent="0.25">
      <c r="A66" s="887"/>
      <c r="B66" s="898" t="s">
        <v>644</v>
      </c>
      <c r="C66" s="888" t="s">
        <v>62</v>
      </c>
      <c r="D66" s="899" t="s">
        <v>543</v>
      </c>
      <c r="E66" s="896">
        <f t="shared" si="0"/>
        <v>0</v>
      </c>
      <c r="F66" s="902"/>
      <c r="G66" s="903"/>
      <c r="H66" s="903"/>
      <c r="I66" s="897">
        <f t="shared" si="1"/>
        <v>0</v>
      </c>
      <c r="J66" s="903"/>
      <c r="K66" s="903"/>
      <c r="L66" s="903"/>
    </row>
    <row r="67" spans="1:12" ht="78.75" x14ac:dyDescent="0.25">
      <c r="A67" s="887" t="s">
        <v>586</v>
      </c>
      <c r="B67" s="898" t="s">
        <v>587</v>
      </c>
      <c r="C67" s="888" t="s">
        <v>62</v>
      </c>
      <c r="D67" s="899" t="s">
        <v>550</v>
      </c>
      <c r="E67" s="896">
        <f t="shared" si="0"/>
        <v>0</v>
      </c>
      <c r="F67" s="896">
        <f>SUM(F68:F69)</f>
        <v>0</v>
      </c>
      <c r="G67" s="897">
        <f>SUM(G68:G69)</f>
        <v>0</v>
      </c>
      <c r="H67" s="897">
        <f>SUM(H68:H69)</f>
        <v>0</v>
      </c>
      <c r="I67" s="897">
        <f t="shared" si="1"/>
        <v>0</v>
      </c>
      <c r="J67" s="897">
        <f>SUM(J68:J69)</f>
        <v>0</v>
      </c>
      <c r="K67" s="897">
        <f>SUM(K68:K69)</f>
        <v>0</v>
      </c>
      <c r="L67" s="897">
        <f>SUM(L68:L69)</f>
        <v>0</v>
      </c>
    </row>
    <row r="68" spans="1:12" ht="47.25" x14ac:dyDescent="0.25">
      <c r="A68" s="887"/>
      <c r="B68" s="898" t="s">
        <v>645</v>
      </c>
      <c r="C68" s="888" t="s">
        <v>62</v>
      </c>
      <c r="D68" s="899" t="s">
        <v>550</v>
      </c>
      <c r="E68" s="896">
        <f t="shared" si="0"/>
        <v>0</v>
      </c>
      <c r="F68" s="902"/>
      <c r="G68" s="903"/>
      <c r="H68" s="903"/>
      <c r="I68" s="897">
        <f t="shared" si="1"/>
        <v>0</v>
      </c>
      <c r="J68" s="903"/>
      <c r="K68" s="903"/>
      <c r="L68" s="903"/>
    </row>
    <row r="69" spans="1:12" ht="78.75" x14ac:dyDescent="0.25">
      <c r="A69" s="887"/>
      <c r="B69" s="898" t="s">
        <v>646</v>
      </c>
      <c r="C69" s="888" t="s">
        <v>62</v>
      </c>
      <c r="D69" s="899" t="s">
        <v>550</v>
      </c>
      <c r="E69" s="896">
        <f t="shared" si="0"/>
        <v>0</v>
      </c>
      <c r="F69" s="902"/>
      <c r="G69" s="903"/>
      <c r="H69" s="903"/>
      <c r="I69" s="897">
        <f t="shared" si="1"/>
        <v>0</v>
      </c>
      <c r="J69" s="903"/>
      <c r="K69" s="903"/>
      <c r="L69" s="903"/>
    </row>
    <row r="70" spans="1:12" ht="220.5" x14ac:dyDescent="0.25">
      <c r="A70" s="887" t="s">
        <v>367</v>
      </c>
      <c r="B70" s="898" t="s">
        <v>572</v>
      </c>
      <c r="C70" s="888" t="s">
        <v>62</v>
      </c>
      <c r="D70" s="899" t="s">
        <v>543</v>
      </c>
      <c r="E70" s="896">
        <f t="shared" si="0"/>
        <v>450</v>
      </c>
      <c r="F70" s="902"/>
      <c r="G70" s="903"/>
      <c r="H70" s="903">
        <v>450</v>
      </c>
      <c r="I70" s="897">
        <f t="shared" si="1"/>
        <v>0</v>
      </c>
      <c r="J70" s="903"/>
      <c r="K70" s="903"/>
      <c r="L70" s="903"/>
    </row>
    <row r="71" spans="1:12" ht="204.75" x14ac:dyDescent="0.25">
      <c r="A71" s="887" t="s">
        <v>514</v>
      </c>
      <c r="B71" s="898" t="s">
        <v>573</v>
      </c>
      <c r="C71" s="888" t="s">
        <v>599</v>
      </c>
      <c r="D71" s="899" t="s">
        <v>543</v>
      </c>
      <c r="E71" s="896">
        <f t="shared" si="0"/>
        <v>8341</v>
      </c>
      <c r="F71" s="902"/>
      <c r="G71" s="903"/>
      <c r="H71" s="903">
        <v>8341</v>
      </c>
      <c r="I71" s="897">
        <f t="shared" si="1"/>
        <v>1468.08</v>
      </c>
      <c r="J71" s="903"/>
      <c r="K71" s="903"/>
      <c r="L71" s="903">
        <v>1468.08</v>
      </c>
    </row>
    <row r="72" spans="1:12" ht="110.25" x14ac:dyDescent="0.25">
      <c r="A72" s="892" t="s">
        <v>379</v>
      </c>
      <c r="B72" s="893" t="s">
        <v>574</v>
      </c>
      <c r="C72" s="894"/>
      <c r="D72" s="895"/>
      <c r="E72" s="896">
        <f t="shared" si="0"/>
        <v>28581.610000000004</v>
      </c>
      <c r="F72" s="896">
        <f>F73+F79+F80</f>
        <v>0</v>
      </c>
      <c r="G72" s="897">
        <f>G73+G79+G80</f>
        <v>28293.610000000004</v>
      </c>
      <c r="H72" s="897">
        <f>H73+H79+H80</f>
        <v>288</v>
      </c>
      <c r="I72" s="897">
        <f t="shared" si="1"/>
        <v>332.5</v>
      </c>
      <c r="J72" s="897">
        <f>J73+J79+J80</f>
        <v>0</v>
      </c>
      <c r="K72" s="897">
        <f>K73+K79+K80</f>
        <v>0</v>
      </c>
      <c r="L72" s="897">
        <f>L73+L79+L80</f>
        <v>332.5</v>
      </c>
    </row>
    <row r="73" spans="1:12" ht="110.25" x14ac:dyDescent="0.25">
      <c r="A73" s="892" t="s">
        <v>380</v>
      </c>
      <c r="B73" s="919" t="s">
        <v>598</v>
      </c>
      <c r="C73" s="894" t="s">
        <v>62</v>
      </c>
      <c r="D73" s="895" t="s">
        <v>543</v>
      </c>
      <c r="E73" s="896">
        <f t="shared" si="0"/>
        <v>28293.610000000004</v>
      </c>
      <c r="F73" s="896">
        <f>SUM(F74:F78)</f>
        <v>0</v>
      </c>
      <c r="G73" s="897">
        <f>SUM(G74:G78)</f>
        <v>28293.610000000004</v>
      </c>
      <c r="H73" s="897">
        <f>SUM(H74:H78)</f>
        <v>0</v>
      </c>
      <c r="I73" s="897">
        <f t="shared" si="1"/>
        <v>332.5</v>
      </c>
      <c r="J73" s="897">
        <f>SUM(J74:J78)</f>
        <v>0</v>
      </c>
      <c r="K73" s="897">
        <f>SUM(K74:K78)</f>
        <v>0</v>
      </c>
      <c r="L73" s="897">
        <f>SUM(L74:L78)</f>
        <v>332.5</v>
      </c>
    </row>
    <row r="74" spans="1:12" ht="63" x14ac:dyDescent="0.25">
      <c r="A74" s="887"/>
      <c r="B74" s="920" t="s">
        <v>647</v>
      </c>
      <c r="C74" s="888" t="s">
        <v>62</v>
      </c>
      <c r="D74" s="899" t="s">
        <v>543</v>
      </c>
      <c r="E74" s="896">
        <f t="shared" si="0"/>
        <v>14242.57</v>
      </c>
      <c r="F74" s="902"/>
      <c r="G74" s="903">
        <v>14242.57</v>
      </c>
      <c r="H74" s="903"/>
      <c r="I74" s="897">
        <f t="shared" si="1"/>
        <v>332.5</v>
      </c>
      <c r="J74" s="903"/>
      <c r="K74" s="903"/>
      <c r="L74" s="903">
        <v>332.5</v>
      </c>
    </row>
    <row r="75" spans="1:12" ht="47.25" x14ac:dyDescent="0.25">
      <c r="A75" s="887"/>
      <c r="B75" s="920" t="s">
        <v>648</v>
      </c>
      <c r="C75" s="888" t="s">
        <v>62</v>
      </c>
      <c r="D75" s="899" t="s">
        <v>543</v>
      </c>
      <c r="E75" s="896">
        <f t="shared" ref="E75:E80" si="3">SUM(F75:H75)</f>
        <v>11081.87</v>
      </c>
      <c r="F75" s="902"/>
      <c r="G75" s="903">
        <v>11081.87</v>
      </c>
      <c r="H75" s="903"/>
      <c r="I75" s="897">
        <f t="shared" ref="I75:I80" si="4">SUM(J75:L75)</f>
        <v>0</v>
      </c>
      <c r="J75" s="903"/>
      <c r="K75" s="903"/>
      <c r="L75" s="903"/>
    </row>
    <row r="76" spans="1:12" ht="47.25" x14ac:dyDescent="0.25">
      <c r="A76" s="887"/>
      <c r="B76" s="920" t="s">
        <v>943</v>
      </c>
      <c r="C76" s="888" t="s">
        <v>62</v>
      </c>
      <c r="D76" s="899" t="s">
        <v>543</v>
      </c>
      <c r="E76" s="896">
        <f t="shared" si="3"/>
        <v>662.49</v>
      </c>
      <c r="F76" s="902"/>
      <c r="G76" s="903">
        <v>662.49</v>
      </c>
      <c r="H76" s="903"/>
      <c r="I76" s="897">
        <f t="shared" si="4"/>
        <v>0</v>
      </c>
      <c r="J76" s="903"/>
      <c r="K76" s="903"/>
      <c r="L76" s="903"/>
    </row>
    <row r="77" spans="1:12" ht="47.25" x14ac:dyDescent="0.25">
      <c r="A77" s="887"/>
      <c r="B77" s="900" t="s">
        <v>650</v>
      </c>
      <c r="C77" s="888" t="s">
        <v>62</v>
      </c>
      <c r="D77" s="899" t="s">
        <v>543</v>
      </c>
      <c r="E77" s="896">
        <f t="shared" si="3"/>
        <v>1565.69</v>
      </c>
      <c r="F77" s="902"/>
      <c r="G77" s="903">
        <v>1565.69</v>
      </c>
      <c r="H77" s="903"/>
      <c r="I77" s="897">
        <f t="shared" si="4"/>
        <v>0</v>
      </c>
      <c r="J77" s="903"/>
      <c r="K77" s="903"/>
      <c r="L77" s="903"/>
    </row>
    <row r="78" spans="1:12" ht="94.5" x14ac:dyDescent="0.25">
      <c r="A78" s="887"/>
      <c r="B78" s="900" t="s">
        <v>651</v>
      </c>
      <c r="C78" s="888" t="s">
        <v>62</v>
      </c>
      <c r="D78" s="899" t="s">
        <v>543</v>
      </c>
      <c r="E78" s="896">
        <f t="shared" si="3"/>
        <v>740.99</v>
      </c>
      <c r="F78" s="902"/>
      <c r="G78" s="903">
        <v>740.99</v>
      </c>
      <c r="H78" s="903"/>
      <c r="I78" s="897">
        <f t="shared" si="4"/>
        <v>0</v>
      </c>
      <c r="J78" s="903"/>
      <c r="K78" s="903"/>
      <c r="L78" s="903"/>
    </row>
    <row r="79" spans="1:12" ht="110.25" x14ac:dyDescent="0.25">
      <c r="A79" s="887" t="s">
        <v>576</v>
      </c>
      <c r="B79" s="920" t="s">
        <v>577</v>
      </c>
      <c r="C79" s="888" t="s">
        <v>575</v>
      </c>
      <c r="D79" s="899" t="s">
        <v>543</v>
      </c>
      <c r="E79" s="896">
        <f t="shared" si="3"/>
        <v>0</v>
      </c>
      <c r="F79" s="902"/>
      <c r="G79" s="903"/>
      <c r="H79" s="903"/>
      <c r="I79" s="897">
        <f t="shared" si="4"/>
        <v>0</v>
      </c>
      <c r="J79" s="903"/>
      <c r="K79" s="903"/>
      <c r="L79" s="903"/>
    </row>
    <row r="80" spans="1:12" ht="173.25" x14ac:dyDescent="0.25">
      <c r="A80" s="887" t="s">
        <v>384</v>
      </c>
      <c r="B80" s="898" t="s">
        <v>578</v>
      </c>
      <c r="C80" s="888" t="s">
        <v>62</v>
      </c>
      <c r="D80" s="899" t="s">
        <v>543</v>
      </c>
      <c r="E80" s="896">
        <f t="shared" si="3"/>
        <v>288</v>
      </c>
      <c r="F80" s="902"/>
      <c r="G80" s="903"/>
      <c r="H80" s="903">
        <v>288</v>
      </c>
      <c r="I80" s="897">
        <f t="shared" si="4"/>
        <v>0</v>
      </c>
      <c r="J80" s="903"/>
      <c r="K80" s="903"/>
      <c r="L80" s="903"/>
    </row>
    <row r="81" spans="1:12" x14ac:dyDescent="0.25">
      <c r="A81" s="1233" t="s">
        <v>7</v>
      </c>
      <c r="B81" s="1233"/>
      <c r="C81" s="1233"/>
      <c r="D81" s="1233"/>
      <c r="E81" s="896">
        <f>E10+E30+E41+E62+E72</f>
        <v>248638.12000000002</v>
      </c>
      <c r="F81" s="896">
        <f>F10+F30+F41+F62+F72</f>
        <v>0</v>
      </c>
      <c r="G81" s="896">
        <f t="shared" ref="G81:L81" si="5">G10+G30+G41+G62+G72</f>
        <v>46665.72</v>
      </c>
      <c r="H81" s="896">
        <f t="shared" si="5"/>
        <v>201972.4</v>
      </c>
      <c r="I81" s="896">
        <f t="shared" si="5"/>
        <v>48699.054000000004</v>
      </c>
      <c r="J81" s="896">
        <f t="shared" si="5"/>
        <v>25699.59</v>
      </c>
      <c r="K81" s="896">
        <f t="shared" si="5"/>
        <v>213.00899999999999</v>
      </c>
      <c r="L81" s="896">
        <f t="shared" si="5"/>
        <v>22786.455000000002</v>
      </c>
    </row>
    <row r="82" spans="1:12" x14ac:dyDescent="0.25">
      <c r="A82" s="879"/>
      <c r="B82" s="879"/>
      <c r="C82" s="879"/>
      <c r="D82" s="880"/>
      <c r="E82" s="881"/>
      <c r="F82" s="881"/>
      <c r="G82" s="881"/>
      <c r="H82" s="881"/>
      <c r="I82" s="881"/>
      <c r="J82" s="881"/>
      <c r="K82" s="881"/>
      <c r="L82" s="881"/>
    </row>
    <row r="83" spans="1:12" x14ac:dyDescent="0.25">
      <c r="A83" s="921"/>
      <c r="B83" s="922"/>
      <c r="C83" s="923"/>
      <c r="D83" s="921"/>
      <c r="E83" s="921"/>
      <c r="F83" s="921"/>
      <c r="G83" s="921"/>
      <c r="H83" s="879"/>
      <c r="I83" s="924"/>
      <c r="J83" s="924"/>
      <c r="K83" s="924"/>
      <c r="L83" s="924"/>
    </row>
    <row r="84" spans="1:12" x14ac:dyDescent="0.25">
      <c r="A84" s="921"/>
      <c r="B84" s="922"/>
      <c r="C84" s="923"/>
      <c r="D84" s="921"/>
      <c r="E84" s="921"/>
      <c r="F84" s="921"/>
      <c r="G84" s="921"/>
      <c r="H84" s="879"/>
      <c r="I84" s="924"/>
      <c r="J84" s="924"/>
      <c r="K84" s="924"/>
      <c r="L84" s="924"/>
    </row>
    <row r="85" spans="1:12" x14ac:dyDescent="0.25">
      <c r="A85" s="921"/>
      <c r="B85" s="922"/>
      <c r="C85" s="923"/>
      <c r="D85" s="921"/>
      <c r="E85" s="921"/>
      <c r="F85" s="921"/>
      <c r="G85" s="921"/>
      <c r="H85" s="879"/>
      <c r="I85" s="924"/>
      <c r="J85" s="924"/>
      <c r="K85" s="924"/>
      <c r="L85" s="924"/>
    </row>
    <row r="86" spans="1:12" x14ac:dyDescent="0.25">
      <c r="A86" s="921"/>
      <c r="B86" s="922"/>
      <c r="C86" s="923"/>
      <c r="D86" s="921"/>
      <c r="E86" s="921"/>
      <c r="F86" s="921"/>
      <c r="G86" s="925"/>
      <c r="H86" s="879"/>
      <c r="I86" s="924"/>
      <c r="J86" s="924"/>
      <c r="K86" s="924"/>
      <c r="L86" s="924"/>
    </row>
    <row r="87" spans="1:12" x14ac:dyDescent="0.25">
      <c r="A87" s="879"/>
      <c r="B87" s="879"/>
      <c r="C87" s="879"/>
      <c r="D87" s="880"/>
      <c r="E87" s="881"/>
      <c r="F87" s="881"/>
      <c r="G87" s="881"/>
      <c r="H87" s="881"/>
      <c r="I87" s="881"/>
      <c r="J87" s="881"/>
      <c r="K87" s="881"/>
      <c r="L87" s="926"/>
    </row>
    <row r="88" spans="1:12" x14ac:dyDescent="0.25">
      <c r="A88" s="927" t="s">
        <v>8</v>
      </c>
      <c r="B88" s="928"/>
      <c r="C88" s="929"/>
      <c r="D88" s="930"/>
      <c r="E88" s="931"/>
      <c r="F88" s="931"/>
      <c r="G88" s="932"/>
      <c r="H88" s="932"/>
      <c r="I88" s="933"/>
      <c r="J88" s="933"/>
      <c r="K88" s="881"/>
      <c r="L88" s="926"/>
    </row>
    <row r="89" spans="1:12" x14ac:dyDescent="0.25">
      <c r="A89" s="934"/>
      <c r="B89" s="935"/>
      <c r="C89" s="921"/>
      <c r="D89" s="924"/>
      <c r="E89" s="931"/>
      <c r="F89" s="931"/>
      <c r="G89" s="932"/>
      <c r="H89" s="932"/>
      <c r="I89" s="932"/>
      <c r="J89" s="932" t="s">
        <v>9</v>
      </c>
      <c r="K89" s="881"/>
      <c r="L89" s="926"/>
    </row>
    <row r="90" spans="1:12" x14ac:dyDescent="0.25">
      <c r="A90" s="934"/>
      <c r="B90" s="1234" t="s">
        <v>10</v>
      </c>
      <c r="C90" s="1235"/>
      <c r="D90" s="1236"/>
      <c r="E90" s="1237" t="s">
        <v>11</v>
      </c>
      <c r="F90" s="1238"/>
      <c r="G90" s="1239"/>
      <c r="H90" s="1237" t="s">
        <v>12</v>
      </c>
      <c r="I90" s="1238"/>
      <c r="J90" s="1239"/>
      <c r="K90" s="881"/>
      <c r="L90" s="881"/>
    </row>
    <row r="91" spans="1:12" ht="31.5" x14ac:dyDescent="0.25">
      <c r="A91" s="934"/>
      <c r="B91" s="899" t="s">
        <v>13</v>
      </c>
      <c r="C91" s="888" t="s">
        <v>14</v>
      </c>
      <c r="D91" s="899" t="s">
        <v>15</v>
      </c>
      <c r="E91" s="936" t="s">
        <v>13</v>
      </c>
      <c r="F91" s="936" t="s">
        <v>14</v>
      </c>
      <c r="G91" s="936" t="s">
        <v>15</v>
      </c>
      <c r="H91" s="936" t="s">
        <v>13</v>
      </c>
      <c r="I91" s="936" t="s">
        <v>14</v>
      </c>
      <c r="J91" s="936" t="s">
        <v>15</v>
      </c>
      <c r="K91" s="881"/>
      <c r="L91" s="881"/>
    </row>
    <row r="92" spans="1:12" s="860" customFormat="1" x14ac:dyDescent="0.25">
      <c r="A92" s="937"/>
      <c r="B92" s="938">
        <f>SUM(C92:D92)</f>
        <v>248638.12</v>
      </c>
      <c r="C92" s="939">
        <f>G81</f>
        <v>46665.72</v>
      </c>
      <c r="D92" s="939">
        <f>F81+H81</f>
        <v>201972.4</v>
      </c>
      <c r="E92" s="938">
        <f>SUM(F92:G92)</f>
        <v>48699.053999999996</v>
      </c>
      <c r="F92" s="938">
        <f>K81</f>
        <v>213.00899999999999</v>
      </c>
      <c r="G92" s="938">
        <f>J81+L81</f>
        <v>48486.044999999998</v>
      </c>
      <c r="H92" s="940">
        <f>E92-B92</f>
        <v>-199939.06599999999</v>
      </c>
      <c r="I92" s="940">
        <f>F92-C92</f>
        <v>-46452.711000000003</v>
      </c>
      <c r="J92" s="940">
        <f>G92-D92</f>
        <v>-153486.35499999998</v>
      </c>
      <c r="K92" s="941"/>
      <c r="L92" s="941"/>
    </row>
    <row r="93" spans="1:12" x14ac:dyDescent="0.25">
      <c r="A93" s="879"/>
      <c r="B93" s="879"/>
      <c r="C93" s="942"/>
      <c r="D93" s="880"/>
      <c r="E93" s="881"/>
      <c r="F93" s="881"/>
      <c r="G93" s="881"/>
      <c r="H93" s="881"/>
      <c r="I93" s="881"/>
      <c r="J93" s="881"/>
      <c r="K93" s="881"/>
      <c r="L93" s="881"/>
    </row>
    <row r="96" spans="1:12" x14ac:dyDescent="0.25">
      <c r="B96" s="852"/>
    </row>
    <row r="97" spans="2:3" x14ac:dyDescent="0.25">
      <c r="B97" s="1231" t="s">
        <v>952</v>
      </c>
      <c r="C97" s="1232"/>
    </row>
    <row r="98" spans="2:3" x14ac:dyDescent="0.25">
      <c r="B98" s="237"/>
    </row>
    <row r="99" spans="2:3" x14ac:dyDescent="0.25">
      <c r="B99" s="237"/>
    </row>
    <row r="100" spans="2:3" x14ac:dyDescent="0.25">
      <c r="B100" s="237" t="s">
        <v>951</v>
      </c>
    </row>
    <row r="101" spans="2:3" x14ac:dyDescent="0.25">
      <c r="B101" s="720" t="s">
        <v>949</v>
      </c>
    </row>
    <row r="102" spans="2:3" x14ac:dyDescent="0.25">
      <c r="B102" s="720" t="s">
        <v>950</v>
      </c>
    </row>
  </sheetData>
  <mergeCells count="16">
    <mergeCell ref="A4:L4"/>
    <mergeCell ref="A6:A8"/>
    <mergeCell ref="B6:B8"/>
    <mergeCell ref="C6:C8"/>
    <mergeCell ref="D6:D8"/>
    <mergeCell ref="E6:H6"/>
    <mergeCell ref="I6:L6"/>
    <mergeCell ref="E7:E8"/>
    <mergeCell ref="F7:H7"/>
    <mergeCell ref="I7:I8"/>
    <mergeCell ref="J7:L7"/>
    <mergeCell ref="B97:C97"/>
    <mergeCell ref="A81:D81"/>
    <mergeCell ref="B90:D90"/>
    <mergeCell ref="E90:G90"/>
    <mergeCell ref="H90:J90"/>
  </mergeCells>
  <pageMargins left="0.51181102362204722" right="0.51181102362204722" top="0.55118110236220474" bottom="0.55118110236220474" header="0.31496062992125984" footer="0.31496062992125984"/>
  <pageSetup paperSize="9" scale="62" fitToHeight="21"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264"/>
  <sheetViews>
    <sheetView tabSelected="1" zoomScale="82" zoomScaleNormal="82" workbookViewId="0">
      <pane xSplit="2" ySplit="9" topLeftCell="C138" activePane="bottomRight" state="frozen"/>
      <selection pane="topRight" activeCell="C1" sqref="C1"/>
      <selection pane="bottomLeft" activeCell="A10" sqref="A10"/>
      <selection pane="bottomRight" activeCell="I148" sqref="I148"/>
    </sheetView>
  </sheetViews>
  <sheetFormatPr defaultRowHeight="15.75" x14ac:dyDescent="0.25"/>
  <cols>
    <col min="1" max="1" width="6.42578125" style="861" customWidth="1"/>
    <col min="2" max="2" width="21.7109375" style="862" customWidth="1"/>
    <col min="3" max="3" width="19.7109375" style="1036" customWidth="1"/>
    <col min="4" max="4" width="13.85546875" style="1037" customWidth="1"/>
    <col min="5" max="5" width="19.42578125" style="1038" customWidth="1"/>
    <col min="6" max="6" width="18.85546875" style="1038" customWidth="1"/>
    <col min="7" max="7" width="24.85546875" style="1039" customWidth="1"/>
    <col min="8" max="8" width="25.5703125" style="1039" customWidth="1"/>
    <col min="9" max="9" width="26.85546875" style="1054" customWidth="1"/>
    <col min="10" max="10" width="21.85546875" style="1040" customWidth="1"/>
    <col min="11" max="11" width="21.140625" style="1040" customWidth="1"/>
    <col min="12" max="12" width="25" style="1040" customWidth="1"/>
    <col min="13" max="13" width="9.140625" style="857"/>
    <col min="14" max="14" width="28.7109375" style="962" customWidth="1"/>
    <col min="15" max="15" width="9.140625" style="857"/>
    <col min="16" max="16" width="18" style="962" bestFit="1" customWidth="1"/>
    <col min="17" max="16384" width="9.140625" style="857"/>
  </cols>
  <sheetData>
    <row r="1" spans="1:16" s="959" customFormat="1" x14ac:dyDescent="0.25">
      <c r="A1" s="878"/>
      <c r="B1" s="879"/>
      <c r="C1" s="1009"/>
      <c r="D1" s="1010"/>
      <c r="E1" s="1011"/>
      <c r="F1" s="1011"/>
      <c r="G1" s="1039"/>
      <c r="H1" s="1012"/>
      <c r="I1" s="1054"/>
      <c r="J1" s="1059" t="s">
        <v>942</v>
      </c>
      <c r="K1" s="1040"/>
      <c r="L1" s="1040"/>
      <c r="N1" s="961"/>
      <c r="P1" s="961"/>
    </row>
    <row r="2" spans="1:16" s="959" customFormat="1" x14ac:dyDescent="0.25">
      <c r="A2" s="878"/>
      <c r="B2" s="879"/>
      <c r="C2" s="1009"/>
      <c r="D2" s="1010"/>
      <c r="E2" s="1011"/>
      <c r="F2" s="1011"/>
      <c r="G2" s="1039"/>
      <c r="H2" s="1012"/>
      <c r="I2" s="1054"/>
      <c r="J2" s="1059"/>
      <c r="K2" s="1040"/>
      <c r="L2" s="1040"/>
      <c r="N2" s="961"/>
      <c r="P2" s="961"/>
    </row>
    <row r="3" spans="1:16" s="959" customFormat="1" x14ac:dyDescent="0.25">
      <c r="A3" s="878"/>
      <c r="B3" s="879"/>
      <c r="C3" s="1009"/>
      <c r="D3" s="1010"/>
      <c r="E3" s="1011"/>
      <c r="F3" s="1011"/>
      <c r="G3" s="1038"/>
      <c r="H3" s="1011"/>
      <c r="I3" s="1040"/>
      <c r="J3" s="1040"/>
      <c r="K3" s="1040"/>
      <c r="L3" s="1040"/>
      <c r="N3" s="961"/>
      <c r="P3" s="961"/>
    </row>
    <row r="4" spans="1:16" s="959" customFormat="1" x14ac:dyDescent="0.25">
      <c r="A4" s="1240" t="s">
        <v>999</v>
      </c>
      <c r="B4" s="1240"/>
      <c r="C4" s="1240"/>
      <c r="D4" s="1240"/>
      <c r="E4" s="1240"/>
      <c r="F4" s="1240"/>
      <c r="G4" s="1240"/>
      <c r="H4" s="1240"/>
      <c r="I4" s="1240"/>
      <c r="J4" s="1240"/>
      <c r="K4" s="1240"/>
      <c r="L4" s="1240"/>
      <c r="N4" s="961"/>
      <c r="P4" s="961"/>
    </row>
    <row r="5" spans="1:16" s="959" customFormat="1" x14ac:dyDescent="0.25">
      <c r="A5" s="878"/>
      <c r="B5" s="879"/>
      <c r="C5" s="1009"/>
      <c r="D5" s="1010"/>
      <c r="E5" s="1011"/>
      <c r="F5" s="1011"/>
      <c r="G5" s="1038"/>
      <c r="H5" s="1011"/>
      <c r="I5" s="1040"/>
      <c r="J5" s="1040"/>
      <c r="K5" s="1040"/>
      <c r="L5" s="1040"/>
      <c r="N5" s="961"/>
      <c r="P5" s="961"/>
    </row>
    <row r="6" spans="1:16" x14ac:dyDescent="0.25">
      <c r="A6" s="1241" t="s">
        <v>26</v>
      </c>
      <c r="B6" s="1242" t="s">
        <v>37</v>
      </c>
      <c r="C6" s="1251" t="s">
        <v>38</v>
      </c>
      <c r="D6" s="1251" t="s">
        <v>39</v>
      </c>
      <c r="E6" s="1252" t="s">
        <v>45</v>
      </c>
      <c r="F6" s="1252"/>
      <c r="G6" s="1252"/>
      <c r="H6" s="1252"/>
      <c r="I6" s="1252" t="s">
        <v>40</v>
      </c>
      <c r="J6" s="1252"/>
      <c r="K6" s="1252"/>
      <c r="L6" s="1252"/>
    </row>
    <row r="7" spans="1:16" x14ac:dyDescent="0.25">
      <c r="A7" s="1241"/>
      <c r="B7" s="1242"/>
      <c r="C7" s="1251"/>
      <c r="D7" s="1251"/>
      <c r="E7" s="1253" t="s">
        <v>41</v>
      </c>
      <c r="F7" s="1251" t="s">
        <v>42</v>
      </c>
      <c r="G7" s="1251"/>
      <c r="H7" s="1251"/>
      <c r="I7" s="1254" t="s">
        <v>41</v>
      </c>
      <c r="J7" s="1255" t="s">
        <v>42</v>
      </c>
      <c r="K7" s="1255"/>
      <c r="L7" s="1256"/>
    </row>
    <row r="8" spans="1:16" ht="31.5" x14ac:dyDescent="0.25">
      <c r="A8" s="1241"/>
      <c r="B8" s="1242"/>
      <c r="C8" s="1251"/>
      <c r="D8" s="1251"/>
      <c r="E8" s="1253"/>
      <c r="F8" s="1013" t="s">
        <v>44</v>
      </c>
      <c r="G8" s="1045" t="s">
        <v>43</v>
      </c>
      <c r="H8" s="1013" t="s">
        <v>27</v>
      </c>
      <c r="I8" s="1254"/>
      <c r="J8" s="1055" t="s">
        <v>44</v>
      </c>
      <c r="K8" s="1062" t="s">
        <v>43</v>
      </c>
      <c r="L8" s="1055" t="s">
        <v>27</v>
      </c>
    </row>
    <row r="9" spans="1:16" x14ac:dyDescent="0.25">
      <c r="A9" s="949" t="s">
        <v>28</v>
      </c>
      <c r="B9" s="950">
        <v>2</v>
      </c>
      <c r="C9" s="1013" t="s">
        <v>103</v>
      </c>
      <c r="D9" s="1013">
        <v>4</v>
      </c>
      <c r="E9" s="1013" t="s">
        <v>155</v>
      </c>
      <c r="F9" s="1013">
        <v>6</v>
      </c>
      <c r="G9" s="1045">
        <v>7</v>
      </c>
      <c r="H9" s="1013">
        <v>8</v>
      </c>
      <c r="I9" s="1055">
        <v>9</v>
      </c>
      <c r="J9" s="1055">
        <v>10</v>
      </c>
      <c r="K9" s="1062">
        <v>11</v>
      </c>
      <c r="L9" s="1055">
        <v>12</v>
      </c>
    </row>
    <row r="10" spans="1:16" ht="63" x14ac:dyDescent="0.25">
      <c r="A10" s="892" t="s">
        <v>17</v>
      </c>
      <c r="B10" s="893" t="s">
        <v>48</v>
      </c>
      <c r="C10" s="1014"/>
      <c r="D10" s="1015"/>
      <c r="E10" s="1016">
        <f>SUM(F10:H10)</f>
        <v>36081.43</v>
      </c>
      <c r="F10" s="1017">
        <f>F11+F15+F16+F17+F18+F19+F20+F25+F29</f>
        <v>0</v>
      </c>
      <c r="G10" s="1046">
        <v>3467.48</v>
      </c>
      <c r="H10" s="1017">
        <v>32613.95</v>
      </c>
      <c r="I10" s="1056">
        <f>SUM(J10:L10)</f>
        <v>29681.84</v>
      </c>
      <c r="J10" s="1058">
        <v>1086.3800000000001</v>
      </c>
      <c r="K10" s="1058">
        <v>922.73</v>
      </c>
      <c r="L10" s="1058">
        <v>27672.73</v>
      </c>
    </row>
    <row r="11" spans="1:16" ht="204.75" x14ac:dyDescent="0.25">
      <c r="A11" s="949" t="s">
        <v>46</v>
      </c>
      <c r="B11" s="898" t="s">
        <v>542</v>
      </c>
      <c r="C11" s="1013"/>
      <c r="D11" s="1018"/>
      <c r="E11" s="1016">
        <f t="shared" ref="E11:E74" si="0">SUM(F11:H11)</f>
        <v>25217.34</v>
      </c>
      <c r="F11" s="1017">
        <f>SUM(F12:F14)</f>
        <v>0</v>
      </c>
      <c r="G11" s="1046">
        <f>SUM(G12:G14)</f>
        <v>0</v>
      </c>
      <c r="H11" s="1017">
        <v>25217.34</v>
      </c>
      <c r="I11" s="1056">
        <f>SUM(J11:L11)</f>
        <v>20576.09</v>
      </c>
      <c r="J11" s="1058">
        <f>SUM(J12:J14)</f>
        <v>0</v>
      </c>
      <c r="K11" s="1058">
        <f>SUM(K12:K14)</f>
        <v>0</v>
      </c>
      <c r="L11" s="1058">
        <v>20576.09</v>
      </c>
    </row>
    <row r="12" spans="1:16" ht="78.75" x14ac:dyDescent="0.25">
      <c r="A12" s="949"/>
      <c r="B12" s="900" t="s">
        <v>616</v>
      </c>
      <c r="C12" s="1013" t="s">
        <v>34</v>
      </c>
      <c r="D12" s="1019" t="s">
        <v>543</v>
      </c>
      <c r="E12" s="1016">
        <f>SUM(F12:H12)</f>
        <v>13082.84</v>
      </c>
      <c r="F12" s="1016"/>
      <c r="G12" s="1046"/>
      <c r="H12" s="1017">
        <v>13082.84</v>
      </c>
      <c r="I12" s="1056">
        <f>SUM(J12:L12)</f>
        <v>8672.98</v>
      </c>
      <c r="J12" s="1058"/>
      <c r="K12" s="1058"/>
      <c r="L12" s="1058">
        <v>8672.98</v>
      </c>
    </row>
    <row r="13" spans="1:16" ht="78.75" x14ac:dyDescent="0.25">
      <c r="A13" s="949"/>
      <c r="B13" s="900" t="s">
        <v>617</v>
      </c>
      <c r="C13" s="1013" t="s">
        <v>34</v>
      </c>
      <c r="D13" s="1019" t="s">
        <v>543</v>
      </c>
      <c r="E13" s="1016">
        <f t="shared" si="0"/>
        <v>7339.81</v>
      </c>
      <c r="F13" s="1016"/>
      <c r="G13" s="1046"/>
      <c r="H13" s="1017">
        <v>7339.81</v>
      </c>
      <c r="I13" s="1056">
        <f t="shared" ref="I13:I76" si="1">SUM(J13:L13)</f>
        <v>9056.14</v>
      </c>
      <c r="J13" s="1058"/>
      <c r="K13" s="1058"/>
      <c r="L13" s="1058">
        <v>9056.14</v>
      </c>
    </row>
    <row r="14" spans="1:16" ht="47.25" x14ac:dyDescent="0.25">
      <c r="A14" s="949"/>
      <c r="B14" s="898" t="s">
        <v>618</v>
      </c>
      <c r="C14" s="1013" t="s">
        <v>34</v>
      </c>
      <c r="D14" s="1019" t="s">
        <v>543</v>
      </c>
      <c r="E14" s="1016">
        <f t="shared" si="0"/>
        <v>4794.6899999999996</v>
      </c>
      <c r="F14" s="1016"/>
      <c r="G14" s="1046"/>
      <c r="H14" s="1017">
        <v>4794.6899999999996</v>
      </c>
      <c r="I14" s="1056">
        <f t="shared" si="1"/>
        <v>2846.97</v>
      </c>
      <c r="J14" s="1058"/>
      <c r="K14" s="1058"/>
      <c r="L14" s="1058">
        <v>2846.97</v>
      </c>
    </row>
    <row r="15" spans="1:16" ht="173.25" x14ac:dyDescent="0.25">
      <c r="A15" s="892" t="s">
        <v>247</v>
      </c>
      <c r="B15" s="904" t="s">
        <v>248</v>
      </c>
      <c r="C15" s="1014" t="s">
        <v>51</v>
      </c>
      <c r="D15" s="1020" t="s">
        <v>543</v>
      </c>
      <c r="E15" s="1016">
        <f t="shared" si="0"/>
        <v>550</v>
      </c>
      <c r="F15" s="1016"/>
      <c r="G15" s="1046"/>
      <c r="H15" s="1017">
        <v>550</v>
      </c>
      <c r="I15" s="1056">
        <f t="shared" si="1"/>
        <v>3911.59</v>
      </c>
      <c r="J15" s="1058"/>
      <c r="K15" s="1058"/>
      <c r="L15" s="1058">
        <v>3911.59</v>
      </c>
    </row>
    <row r="16" spans="1:16" ht="126" x14ac:dyDescent="0.25">
      <c r="A16" s="949" t="s">
        <v>253</v>
      </c>
      <c r="B16" s="906" t="s">
        <v>547</v>
      </c>
      <c r="C16" s="1013" t="s">
        <v>34</v>
      </c>
      <c r="D16" s="1019" t="s">
        <v>544</v>
      </c>
      <c r="E16" s="1016">
        <f t="shared" si="0"/>
        <v>0</v>
      </c>
      <c r="F16" s="1016"/>
      <c r="G16" s="1046"/>
      <c r="H16" s="1017"/>
      <c r="I16" s="1056">
        <f t="shared" si="1"/>
        <v>1409.74</v>
      </c>
      <c r="J16" s="1058"/>
      <c r="K16" s="1058"/>
      <c r="L16" s="1058">
        <v>1409.74</v>
      </c>
    </row>
    <row r="17" spans="1:12" ht="157.5" x14ac:dyDescent="0.25">
      <c r="A17" s="949" t="s">
        <v>546</v>
      </c>
      <c r="B17" s="906" t="s">
        <v>55</v>
      </c>
      <c r="C17" s="1013" t="s">
        <v>51</v>
      </c>
      <c r="D17" s="1018" t="s">
        <v>543</v>
      </c>
      <c r="E17" s="1016">
        <f t="shared" si="0"/>
        <v>1860</v>
      </c>
      <c r="F17" s="1016"/>
      <c r="G17" s="1046"/>
      <c r="H17" s="1017">
        <v>1860</v>
      </c>
      <c r="I17" s="1056">
        <f t="shared" si="1"/>
        <v>695.68</v>
      </c>
      <c r="J17" s="1058"/>
      <c r="K17" s="1058"/>
      <c r="L17" s="1058">
        <v>695.68</v>
      </c>
    </row>
    <row r="18" spans="1:12" ht="220.5" x14ac:dyDescent="0.25">
      <c r="A18" s="949" t="s">
        <v>256</v>
      </c>
      <c r="B18" s="906" t="s">
        <v>548</v>
      </c>
      <c r="C18" s="1013" t="s">
        <v>545</v>
      </c>
      <c r="D18" s="1018" t="s">
        <v>543</v>
      </c>
      <c r="E18" s="1016">
        <f t="shared" si="0"/>
        <v>3901.61</v>
      </c>
      <c r="F18" s="1016"/>
      <c r="G18" s="1046"/>
      <c r="H18" s="1017">
        <v>3901.61</v>
      </c>
      <c r="I18" s="1056">
        <f>SUM(J18:L18)</f>
        <v>2.0299999999999998</v>
      </c>
      <c r="J18" s="1058"/>
      <c r="K18" s="1058"/>
      <c r="L18" s="1058">
        <v>2.0299999999999998</v>
      </c>
    </row>
    <row r="19" spans="1:12" ht="173.25" x14ac:dyDescent="0.25">
      <c r="A19" s="949" t="s">
        <v>261</v>
      </c>
      <c r="B19" s="907" t="s">
        <v>57</v>
      </c>
      <c r="C19" s="1013" t="s">
        <v>34</v>
      </c>
      <c r="D19" s="1019" t="s">
        <v>543</v>
      </c>
      <c r="E19" s="1016">
        <f t="shared" si="0"/>
        <v>635</v>
      </c>
      <c r="F19" s="1016"/>
      <c r="G19" s="1046"/>
      <c r="H19" s="1017">
        <v>635</v>
      </c>
      <c r="I19" s="1056">
        <f t="shared" si="1"/>
        <v>79.55</v>
      </c>
      <c r="J19" s="1058"/>
      <c r="K19" s="1058"/>
      <c r="L19" s="1058">
        <v>79.55</v>
      </c>
    </row>
    <row r="20" spans="1:12" ht="128.25" customHeight="1" x14ac:dyDescent="0.25">
      <c r="A20" s="949" t="s">
        <v>265</v>
      </c>
      <c r="B20" s="898" t="s">
        <v>549</v>
      </c>
      <c r="C20" s="1021" t="s">
        <v>552</v>
      </c>
      <c r="D20" s="1019" t="s">
        <v>550</v>
      </c>
      <c r="E20" s="1016">
        <f t="shared" si="0"/>
        <v>1752</v>
      </c>
      <c r="F20" s="1016">
        <f>F21+F22+F23+F24</f>
        <v>0</v>
      </c>
      <c r="G20" s="1047">
        <v>1752</v>
      </c>
      <c r="H20" s="1016">
        <f>H21+H22+H23+H24</f>
        <v>0</v>
      </c>
      <c r="I20" s="1056">
        <f t="shared" si="1"/>
        <v>2154.4</v>
      </c>
      <c r="J20" s="1058">
        <v>1081.9100000000001</v>
      </c>
      <c r="K20" s="1058">
        <v>244.45</v>
      </c>
      <c r="L20" s="1058">
        <v>828.04</v>
      </c>
    </row>
    <row r="21" spans="1:12" ht="205.5" customHeight="1" x14ac:dyDescent="0.25">
      <c r="A21" s="949"/>
      <c r="B21" s="900" t="s">
        <v>678</v>
      </c>
      <c r="C21" s="1022" t="s">
        <v>680</v>
      </c>
      <c r="D21" s="1019" t="s">
        <v>550</v>
      </c>
      <c r="E21" s="1016">
        <f t="shared" si="0"/>
        <v>0</v>
      </c>
      <c r="F21" s="1016"/>
      <c r="G21" s="1046"/>
      <c r="H21" s="1017"/>
      <c r="I21" s="1056">
        <f t="shared" si="1"/>
        <v>0</v>
      </c>
      <c r="J21" s="1058"/>
      <c r="K21" s="1058"/>
      <c r="L21" s="1058"/>
    </row>
    <row r="22" spans="1:12" ht="252" x14ac:dyDescent="0.25">
      <c r="A22" s="949"/>
      <c r="B22" s="900" t="s">
        <v>679</v>
      </c>
      <c r="C22" s="1021" t="s">
        <v>552</v>
      </c>
      <c r="D22" s="1019" t="s">
        <v>550</v>
      </c>
      <c r="E22" s="1016">
        <f t="shared" si="0"/>
        <v>0</v>
      </c>
      <c r="F22" s="1016"/>
      <c r="G22" s="1046"/>
      <c r="H22" s="1017"/>
      <c r="I22" s="1056">
        <f t="shared" si="1"/>
        <v>0</v>
      </c>
      <c r="J22" s="1058"/>
      <c r="K22" s="1058"/>
      <c r="L22" s="1058"/>
    </row>
    <row r="23" spans="1:12" ht="189" x14ac:dyDescent="0.25">
      <c r="A23" s="949"/>
      <c r="B23" s="906" t="s">
        <v>681</v>
      </c>
      <c r="C23" s="1022" t="s">
        <v>551</v>
      </c>
      <c r="D23" s="1019" t="s">
        <v>550</v>
      </c>
      <c r="E23" s="1016">
        <f t="shared" si="0"/>
        <v>0</v>
      </c>
      <c r="F23" s="1016"/>
      <c r="G23" s="1046"/>
      <c r="H23" s="1017"/>
      <c r="I23" s="1056">
        <f t="shared" si="1"/>
        <v>0</v>
      </c>
      <c r="J23" s="1058"/>
      <c r="K23" s="1058"/>
      <c r="L23" s="1058"/>
    </row>
    <row r="24" spans="1:12" ht="47.25" x14ac:dyDescent="0.25">
      <c r="A24" s="949"/>
      <c r="B24" s="900" t="s">
        <v>682</v>
      </c>
      <c r="C24" s="1021" t="s">
        <v>62</v>
      </c>
      <c r="D24" s="1019" t="s">
        <v>543</v>
      </c>
      <c r="E24" s="1016">
        <f t="shared" si="0"/>
        <v>1752</v>
      </c>
      <c r="F24" s="1016"/>
      <c r="G24" s="1046">
        <v>1752</v>
      </c>
      <c r="H24" s="1017"/>
      <c r="I24" s="1057">
        <f>SUM(J24:L24)</f>
        <v>2154.4</v>
      </c>
      <c r="J24" s="1058">
        <v>1081.9100000000001</v>
      </c>
      <c r="K24" s="1058">
        <v>244.45</v>
      </c>
      <c r="L24" s="1058">
        <v>828.04</v>
      </c>
    </row>
    <row r="25" spans="1:12" ht="110.25" x14ac:dyDescent="0.25">
      <c r="A25" s="949" t="s">
        <v>427</v>
      </c>
      <c r="B25" s="900" t="s">
        <v>430</v>
      </c>
      <c r="C25" s="1021" t="s">
        <v>62</v>
      </c>
      <c r="D25" s="1019" t="s">
        <v>543</v>
      </c>
      <c r="E25" s="1016">
        <f t="shared" si="0"/>
        <v>1714.58</v>
      </c>
      <c r="F25" s="1016">
        <f t="shared" ref="F25:I25" si="2">F26+F27+F28</f>
        <v>0</v>
      </c>
      <c r="G25" s="1047">
        <f t="shared" si="2"/>
        <v>1714.58</v>
      </c>
      <c r="H25" s="1016">
        <f t="shared" si="2"/>
        <v>0</v>
      </c>
      <c r="I25" s="1058">
        <f t="shared" si="2"/>
        <v>682.75</v>
      </c>
      <c r="J25" s="1058">
        <f>J26+J27+J28</f>
        <v>4.47</v>
      </c>
      <c r="K25" s="1058">
        <f>K26+K27+K28</f>
        <v>678.28</v>
      </c>
      <c r="L25" s="1058">
        <f t="shared" ref="L25" si="3">L26+L27+L28</f>
        <v>0</v>
      </c>
    </row>
    <row r="26" spans="1:12" ht="63" x14ac:dyDescent="0.25">
      <c r="A26" s="949"/>
      <c r="B26" s="900" t="s">
        <v>619</v>
      </c>
      <c r="C26" s="1021" t="s">
        <v>62</v>
      </c>
      <c r="D26" s="1019" t="s">
        <v>543</v>
      </c>
      <c r="E26" s="1016">
        <f t="shared" si="0"/>
        <v>0</v>
      </c>
      <c r="F26" s="1016"/>
      <c r="G26" s="1046"/>
      <c r="H26" s="1017"/>
      <c r="I26" s="1056">
        <f t="shared" si="1"/>
        <v>4.47</v>
      </c>
      <c r="J26" s="1058">
        <v>4.47</v>
      </c>
      <c r="K26" s="1058"/>
      <c r="L26" s="1058"/>
    </row>
    <row r="27" spans="1:12" ht="157.5" x14ac:dyDescent="0.25">
      <c r="A27" s="949"/>
      <c r="B27" s="900" t="s">
        <v>620</v>
      </c>
      <c r="C27" s="1021" t="s">
        <v>62</v>
      </c>
      <c r="D27" s="1019" t="s">
        <v>543</v>
      </c>
      <c r="E27" s="1016">
        <f t="shared" si="0"/>
        <v>1714.58</v>
      </c>
      <c r="F27" s="1016"/>
      <c r="G27" s="1046">
        <v>1714.58</v>
      </c>
      <c r="H27" s="1017"/>
      <c r="I27" s="1056">
        <f t="shared" si="1"/>
        <v>678.28</v>
      </c>
      <c r="J27" s="1058"/>
      <c r="K27" s="1058">
        <v>678.28</v>
      </c>
      <c r="L27" s="1058"/>
    </row>
    <row r="28" spans="1:12" ht="110.25" x14ac:dyDescent="0.25">
      <c r="A28" s="949"/>
      <c r="B28" s="900" t="s">
        <v>621</v>
      </c>
      <c r="C28" s="1021" t="s">
        <v>62</v>
      </c>
      <c r="D28" s="1019" t="s">
        <v>543</v>
      </c>
      <c r="E28" s="1016">
        <f t="shared" si="0"/>
        <v>0</v>
      </c>
      <c r="F28" s="1016"/>
      <c r="G28" s="1046"/>
      <c r="H28" s="1017"/>
      <c r="I28" s="1056">
        <f t="shared" si="1"/>
        <v>0</v>
      </c>
      <c r="J28" s="1058"/>
      <c r="K28" s="1058"/>
      <c r="L28" s="1058"/>
    </row>
    <row r="29" spans="1:12" ht="236.25" x14ac:dyDescent="0.25">
      <c r="A29" s="949" t="s">
        <v>283</v>
      </c>
      <c r="B29" s="900" t="s">
        <v>432</v>
      </c>
      <c r="C29" s="1041" t="s">
        <v>585</v>
      </c>
      <c r="D29" s="1042" t="s">
        <v>543</v>
      </c>
      <c r="E29" s="1016">
        <f t="shared" si="0"/>
        <v>450</v>
      </c>
      <c r="F29" s="1016"/>
      <c r="G29" s="1047"/>
      <c r="H29" s="1016">
        <v>450</v>
      </c>
      <c r="I29" s="1056">
        <f>SUM(J29:L29)</f>
        <v>170</v>
      </c>
      <c r="J29" s="1058"/>
      <c r="K29" s="1058"/>
      <c r="L29" s="1058">
        <v>170</v>
      </c>
    </row>
    <row r="30" spans="1:12" ht="141.75" x14ac:dyDescent="0.25">
      <c r="A30" s="892" t="s">
        <v>78</v>
      </c>
      <c r="B30" s="910" t="s">
        <v>77</v>
      </c>
      <c r="C30" s="1014"/>
      <c r="D30" s="1015"/>
      <c r="E30" s="1016">
        <f t="shared" si="0"/>
        <v>6733.3099999999995</v>
      </c>
      <c r="F30" s="1016">
        <f>F31+F32+F33+F37+F38</f>
        <v>0</v>
      </c>
      <c r="G30" s="1046">
        <v>6627.86</v>
      </c>
      <c r="H30" s="1017">
        <v>105.45</v>
      </c>
      <c r="I30" s="1056">
        <f t="shared" si="1"/>
        <v>17009.469999999998</v>
      </c>
      <c r="J30" s="1058">
        <v>127.49</v>
      </c>
      <c r="K30" s="1058">
        <v>2816.1</v>
      </c>
      <c r="L30" s="1058">
        <v>14065.88</v>
      </c>
    </row>
    <row r="31" spans="1:12" ht="157.5" x14ac:dyDescent="0.25">
      <c r="A31" s="949" t="s">
        <v>296</v>
      </c>
      <c r="B31" s="900" t="s">
        <v>433</v>
      </c>
      <c r="C31" s="1013" t="s">
        <v>553</v>
      </c>
      <c r="D31" s="1018" t="s">
        <v>543</v>
      </c>
      <c r="E31" s="1016">
        <f t="shared" si="0"/>
        <v>6627.86</v>
      </c>
      <c r="F31" s="1016"/>
      <c r="G31" s="1046">
        <v>6627.86</v>
      </c>
      <c r="H31" s="1017"/>
      <c r="I31" s="1056">
        <f t="shared" si="1"/>
        <v>10389.799999999999</v>
      </c>
      <c r="J31" s="1058">
        <v>127.49</v>
      </c>
      <c r="K31" s="1058">
        <v>2816.1</v>
      </c>
      <c r="L31" s="1058">
        <v>7446.21</v>
      </c>
    </row>
    <row r="32" spans="1:12" ht="204.75" x14ac:dyDescent="0.25">
      <c r="A32" s="949" t="s">
        <v>297</v>
      </c>
      <c r="B32" s="900" t="s">
        <v>554</v>
      </c>
      <c r="C32" s="1013" t="s">
        <v>62</v>
      </c>
      <c r="D32" s="1018" t="s">
        <v>543</v>
      </c>
      <c r="E32" s="1016">
        <f t="shared" si="0"/>
        <v>0</v>
      </c>
      <c r="F32" s="1016"/>
      <c r="G32" s="1046"/>
      <c r="H32" s="1017"/>
      <c r="I32" s="1056">
        <f t="shared" si="1"/>
        <v>0</v>
      </c>
      <c r="J32" s="1058"/>
      <c r="K32" s="1058"/>
      <c r="L32" s="1058"/>
    </row>
    <row r="33" spans="1:12" ht="113.25" customHeight="1" x14ac:dyDescent="0.25">
      <c r="A33" s="949" t="s">
        <v>298</v>
      </c>
      <c r="B33" s="911" t="s">
        <v>446</v>
      </c>
      <c r="C33" s="1013" t="s">
        <v>555</v>
      </c>
      <c r="D33" s="1019" t="s">
        <v>543</v>
      </c>
      <c r="E33" s="1016">
        <f t="shared" si="0"/>
        <v>967.2</v>
      </c>
      <c r="F33" s="1016">
        <f>SUM(F34:F36)</f>
        <v>0</v>
      </c>
      <c r="G33" s="1046">
        <f>SUM(G34:G36)</f>
        <v>0</v>
      </c>
      <c r="H33" s="1017">
        <v>967.2</v>
      </c>
      <c r="I33" s="1056">
        <f t="shared" si="1"/>
        <v>4823.67</v>
      </c>
      <c r="J33" s="1058">
        <f>SUM(J34:J36)</f>
        <v>0</v>
      </c>
      <c r="K33" s="1058">
        <f>SUM(K34:K36)</f>
        <v>0</v>
      </c>
      <c r="L33" s="1058">
        <v>4823.67</v>
      </c>
    </row>
    <row r="34" spans="1:12" ht="173.25" x14ac:dyDescent="0.25">
      <c r="A34" s="949"/>
      <c r="B34" s="898" t="s">
        <v>622</v>
      </c>
      <c r="C34" s="1013" t="s">
        <v>51</v>
      </c>
      <c r="D34" s="1019" t="s">
        <v>543</v>
      </c>
      <c r="E34" s="1016">
        <f t="shared" si="0"/>
        <v>520</v>
      </c>
      <c r="F34" s="1016"/>
      <c r="G34" s="1046"/>
      <c r="H34" s="1017">
        <v>520</v>
      </c>
      <c r="I34" s="1056">
        <f t="shared" si="1"/>
        <v>4715.67</v>
      </c>
      <c r="J34" s="1058"/>
      <c r="K34" s="1058"/>
      <c r="L34" s="1058">
        <v>4715.67</v>
      </c>
    </row>
    <row r="35" spans="1:12" ht="173.25" x14ac:dyDescent="0.25">
      <c r="A35" s="949"/>
      <c r="B35" s="911" t="s">
        <v>623</v>
      </c>
      <c r="C35" s="1022" t="s">
        <v>555</v>
      </c>
      <c r="D35" s="1019" t="s">
        <v>543</v>
      </c>
      <c r="E35" s="1016">
        <f t="shared" si="0"/>
        <v>171</v>
      </c>
      <c r="F35" s="1016"/>
      <c r="G35" s="1046"/>
      <c r="H35" s="1017">
        <v>171</v>
      </c>
      <c r="I35" s="1056">
        <f t="shared" si="1"/>
        <v>0</v>
      </c>
      <c r="J35" s="1058"/>
      <c r="K35" s="1058"/>
      <c r="L35" s="1058"/>
    </row>
    <row r="36" spans="1:12" ht="94.5" x14ac:dyDescent="0.25">
      <c r="A36" s="949"/>
      <c r="B36" s="898" t="s">
        <v>624</v>
      </c>
      <c r="C36" s="1022" t="s">
        <v>51</v>
      </c>
      <c r="D36" s="1019" t="s">
        <v>543</v>
      </c>
      <c r="E36" s="1016">
        <f t="shared" si="0"/>
        <v>276.10000000000002</v>
      </c>
      <c r="F36" s="1016"/>
      <c r="G36" s="1046"/>
      <c r="H36" s="1017">
        <v>276.10000000000002</v>
      </c>
      <c r="I36" s="1056">
        <f t="shared" si="1"/>
        <v>108</v>
      </c>
      <c r="J36" s="1058"/>
      <c r="K36" s="1058"/>
      <c r="L36" s="1058">
        <v>108</v>
      </c>
    </row>
    <row r="37" spans="1:12" ht="78.75" x14ac:dyDescent="0.25">
      <c r="A37" s="949" t="s">
        <v>299</v>
      </c>
      <c r="B37" s="898" t="s">
        <v>556</v>
      </c>
      <c r="C37" s="1022" t="s">
        <v>62</v>
      </c>
      <c r="D37" s="1019" t="s">
        <v>543</v>
      </c>
      <c r="E37" s="1016">
        <f t="shared" si="0"/>
        <v>0</v>
      </c>
      <c r="F37" s="1016"/>
      <c r="G37" s="1046"/>
      <c r="H37" s="1017"/>
      <c r="I37" s="1056">
        <f>SUM(J37:L37)</f>
        <v>0</v>
      </c>
      <c r="J37" s="1058"/>
      <c r="K37" s="1058"/>
      <c r="L37" s="1058"/>
    </row>
    <row r="38" spans="1:12" ht="157.5" x14ac:dyDescent="0.25">
      <c r="A38" s="912" t="s">
        <v>306</v>
      </c>
      <c r="B38" s="913" t="s">
        <v>557</v>
      </c>
      <c r="C38" s="1013" t="s">
        <v>555</v>
      </c>
      <c r="D38" s="1019" t="s">
        <v>543</v>
      </c>
      <c r="E38" s="1016">
        <f t="shared" si="0"/>
        <v>38.25</v>
      </c>
      <c r="F38" s="1016">
        <f>F39+F40</f>
        <v>0</v>
      </c>
      <c r="G38" s="1047">
        <f>G39+G40</f>
        <v>0</v>
      </c>
      <c r="H38" s="1016">
        <v>38.25</v>
      </c>
      <c r="I38" s="1056">
        <f>SUM(J38:L38)</f>
        <v>1796</v>
      </c>
      <c r="J38" s="1058">
        <f>J39+J40</f>
        <v>0</v>
      </c>
      <c r="K38" s="1058">
        <f>K39+K40</f>
        <v>0</v>
      </c>
      <c r="L38" s="1058">
        <v>1796</v>
      </c>
    </row>
    <row r="39" spans="1:12" ht="94.5" x14ac:dyDescent="0.25">
      <c r="A39" s="949"/>
      <c r="B39" s="898" t="s">
        <v>625</v>
      </c>
      <c r="C39" s="1013" t="s">
        <v>59</v>
      </c>
      <c r="D39" s="1018" t="s">
        <v>543</v>
      </c>
      <c r="E39" s="1016">
        <f t="shared" si="0"/>
        <v>0</v>
      </c>
      <c r="F39" s="1016"/>
      <c r="G39" s="1046"/>
      <c r="H39" s="1017"/>
      <c r="I39" s="1056">
        <f>SUM(J39:L39)</f>
        <v>84.07</v>
      </c>
      <c r="J39" s="1058"/>
      <c r="K39" s="1058"/>
      <c r="L39" s="1058">
        <v>84.07</v>
      </c>
    </row>
    <row r="40" spans="1:12" ht="63" x14ac:dyDescent="0.25">
      <c r="A40" s="949"/>
      <c r="B40" s="898" t="s">
        <v>626</v>
      </c>
      <c r="C40" s="1013" t="s">
        <v>558</v>
      </c>
      <c r="D40" s="1018" t="s">
        <v>543</v>
      </c>
      <c r="E40" s="1016">
        <f t="shared" si="0"/>
        <v>38.25</v>
      </c>
      <c r="F40" s="1016"/>
      <c r="G40" s="1046"/>
      <c r="H40" s="1017">
        <v>38.25</v>
      </c>
      <c r="I40" s="1056">
        <f>SUM(J40:L40)</f>
        <v>1711.94</v>
      </c>
      <c r="J40" s="1058"/>
      <c r="K40" s="1058"/>
      <c r="L40" s="1058">
        <v>1711.94</v>
      </c>
    </row>
    <row r="41" spans="1:12" ht="94.5" x14ac:dyDescent="0.25">
      <c r="A41" s="914" t="s">
        <v>559</v>
      </c>
      <c r="B41" s="915" t="s">
        <v>561</v>
      </c>
      <c r="C41" s="1023"/>
      <c r="D41" s="1024"/>
      <c r="E41" s="1016">
        <f t="shared" si="0"/>
        <v>23371.07</v>
      </c>
      <c r="F41" s="1016">
        <f>F42+F48+F49+F55+F61</f>
        <v>0</v>
      </c>
      <c r="G41" s="1046">
        <v>8241.07</v>
      </c>
      <c r="H41" s="1017">
        <f>H42+H48+H49+H55+H61</f>
        <v>15130</v>
      </c>
      <c r="I41" s="1056">
        <f>SUM(J41:L41)</f>
        <v>6370.8</v>
      </c>
      <c r="J41" s="1058">
        <f>J42+J48+J49+J55+J61</f>
        <v>0</v>
      </c>
      <c r="K41" s="1058">
        <v>4426.55</v>
      </c>
      <c r="L41" s="1058">
        <v>1944.25</v>
      </c>
    </row>
    <row r="42" spans="1:12" ht="220.5" x14ac:dyDescent="0.25">
      <c r="A42" s="949" t="s">
        <v>562</v>
      </c>
      <c r="B42" s="898" t="s">
        <v>455</v>
      </c>
      <c r="C42" s="1013" t="s">
        <v>59</v>
      </c>
      <c r="D42" s="1018" t="s">
        <v>543</v>
      </c>
      <c r="E42" s="1016">
        <f t="shared" si="0"/>
        <v>15627.42</v>
      </c>
      <c r="F42" s="1016">
        <f>SUM(F43:F47)</f>
        <v>0</v>
      </c>
      <c r="G42" s="1046">
        <v>747.42</v>
      </c>
      <c r="H42" s="1017">
        <v>14880</v>
      </c>
      <c r="I42" s="1056">
        <f t="shared" si="1"/>
        <v>1734.34</v>
      </c>
      <c r="J42" s="1058">
        <f>SUM(J43:J47)</f>
        <v>0</v>
      </c>
      <c r="K42" s="1058">
        <f>SUM(K43:K47)</f>
        <v>0</v>
      </c>
      <c r="L42" s="1058">
        <v>1734.34</v>
      </c>
    </row>
    <row r="43" spans="1:12" ht="110.25" x14ac:dyDescent="0.25">
      <c r="A43" s="949"/>
      <c r="B43" s="898" t="s">
        <v>627</v>
      </c>
      <c r="C43" s="1013" t="s">
        <v>59</v>
      </c>
      <c r="D43" s="1018" t="s">
        <v>543</v>
      </c>
      <c r="E43" s="1016">
        <f t="shared" si="0"/>
        <v>747.42</v>
      </c>
      <c r="F43" s="1016"/>
      <c r="G43" s="1046">
        <v>747.42</v>
      </c>
      <c r="H43" s="1017"/>
      <c r="I43" s="1056">
        <f t="shared" si="1"/>
        <v>0</v>
      </c>
      <c r="J43" s="1058"/>
      <c r="K43" s="1058"/>
      <c r="L43" s="1058"/>
    </row>
    <row r="44" spans="1:12" ht="157.5" x14ac:dyDescent="0.25">
      <c r="A44" s="892"/>
      <c r="B44" s="898" t="s">
        <v>628</v>
      </c>
      <c r="C44" s="1013" t="s">
        <v>59</v>
      </c>
      <c r="D44" s="1018" t="s">
        <v>543</v>
      </c>
      <c r="E44" s="1016">
        <f t="shared" si="0"/>
        <v>0</v>
      </c>
      <c r="F44" s="1016"/>
      <c r="G44" s="1046"/>
      <c r="H44" s="1017"/>
      <c r="I44" s="1056">
        <f t="shared" si="1"/>
        <v>0</v>
      </c>
      <c r="J44" s="1058"/>
      <c r="K44" s="1058"/>
      <c r="L44" s="1058"/>
    </row>
    <row r="45" spans="1:12" ht="110.25" x14ac:dyDescent="0.25">
      <c r="A45" s="949"/>
      <c r="B45" s="898" t="s">
        <v>629</v>
      </c>
      <c r="C45" s="1013" t="s">
        <v>59</v>
      </c>
      <c r="D45" s="1018" t="s">
        <v>543</v>
      </c>
      <c r="E45" s="1016">
        <f t="shared" si="0"/>
        <v>0</v>
      </c>
      <c r="F45" s="1016"/>
      <c r="G45" s="1046"/>
      <c r="H45" s="1017"/>
      <c r="I45" s="1056">
        <f t="shared" si="1"/>
        <v>0</v>
      </c>
      <c r="J45" s="1058"/>
      <c r="K45" s="1058"/>
      <c r="L45" s="1058"/>
    </row>
    <row r="46" spans="1:12" ht="267.75" x14ac:dyDescent="0.25">
      <c r="A46" s="949"/>
      <c r="B46" s="898" t="s">
        <v>630</v>
      </c>
      <c r="C46" s="1013" t="s">
        <v>560</v>
      </c>
      <c r="D46" s="1018" t="s">
        <v>543</v>
      </c>
      <c r="E46" s="1016">
        <f t="shared" si="0"/>
        <v>14880</v>
      </c>
      <c r="F46" s="1016"/>
      <c r="G46" s="1046"/>
      <c r="H46" s="1017">
        <v>14880</v>
      </c>
      <c r="I46" s="1056">
        <f t="shared" si="1"/>
        <v>1734.34</v>
      </c>
      <c r="J46" s="1058"/>
      <c r="K46" s="1058"/>
      <c r="L46" s="1058">
        <v>1734.34</v>
      </c>
    </row>
    <row r="47" spans="1:12" ht="94.5" x14ac:dyDescent="0.25">
      <c r="A47" s="949"/>
      <c r="B47" s="898" t="s">
        <v>631</v>
      </c>
      <c r="C47" s="1013" t="s">
        <v>62</v>
      </c>
      <c r="D47" s="1018" t="s">
        <v>543</v>
      </c>
      <c r="E47" s="1016">
        <f t="shared" si="0"/>
        <v>0</v>
      </c>
      <c r="F47" s="1016"/>
      <c r="G47" s="1046"/>
      <c r="H47" s="1017"/>
      <c r="I47" s="1056">
        <f t="shared" si="1"/>
        <v>0</v>
      </c>
      <c r="J47" s="1058"/>
      <c r="K47" s="1058"/>
      <c r="L47" s="1058"/>
    </row>
    <row r="48" spans="1:12" ht="94.5" x14ac:dyDescent="0.25">
      <c r="A48" s="949" t="s">
        <v>329</v>
      </c>
      <c r="B48" s="911" t="s">
        <v>478</v>
      </c>
      <c r="C48" s="1013" t="s">
        <v>62</v>
      </c>
      <c r="D48" s="1019" t="s">
        <v>543</v>
      </c>
      <c r="E48" s="1016">
        <f t="shared" si="0"/>
        <v>929.36</v>
      </c>
      <c r="F48" s="1016"/>
      <c r="G48" s="1046">
        <v>929.36</v>
      </c>
      <c r="H48" s="1017"/>
      <c r="I48" s="1056">
        <f t="shared" si="1"/>
        <v>259.88499999999999</v>
      </c>
      <c r="J48" s="1058"/>
      <c r="K48" s="1058">
        <v>81.135000000000005</v>
      </c>
      <c r="L48" s="1058">
        <v>178.75</v>
      </c>
    </row>
    <row r="49" spans="1:12" ht="236.25" x14ac:dyDescent="0.25">
      <c r="A49" s="892" t="s">
        <v>333</v>
      </c>
      <c r="B49" s="893" t="s">
        <v>563</v>
      </c>
      <c r="C49" s="1014" t="s">
        <v>62</v>
      </c>
      <c r="D49" s="1020" t="s">
        <v>543</v>
      </c>
      <c r="E49" s="1016">
        <f t="shared" si="0"/>
        <v>1746.78</v>
      </c>
      <c r="F49" s="1025">
        <f>SUM(F50:F54)</f>
        <v>0</v>
      </c>
      <c r="G49" s="1048">
        <v>1746.78</v>
      </c>
      <c r="H49" s="1025">
        <f>SUM(H50:H54)</f>
        <v>0</v>
      </c>
      <c r="I49" s="1056">
        <f>SUM(J49:L49)</f>
        <v>137.99</v>
      </c>
      <c r="J49" s="1058">
        <f>SUM(J50:J54)</f>
        <v>0</v>
      </c>
      <c r="K49" s="1058">
        <v>137.99</v>
      </c>
      <c r="L49" s="1058">
        <f>SUM(L50:L54)</f>
        <v>0</v>
      </c>
    </row>
    <row r="50" spans="1:12" ht="47.25" x14ac:dyDescent="0.25">
      <c r="A50" s="949"/>
      <c r="B50" s="911" t="s">
        <v>632</v>
      </c>
      <c r="C50" s="1013" t="s">
        <v>62</v>
      </c>
      <c r="D50" s="1018" t="s">
        <v>543</v>
      </c>
      <c r="E50" s="1016">
        <f t="shared" si="0"/>
        <v>38.61</v>
      </c>
      <c r="F50" s="1016"/>
      <c r="G50" s="1046">
        <v>38.61</v>
      </c>
      <c r="H50" s="1017"/>
      <c r="I50" s="1056">
        <f t="shared" si="1"/>
        <v>25.63</v>
      </c>
      <c r="J50" s="1058"/>
      <c r="K50" s="1058">
        <v>25.63</v>
      </c>
      <c r="L50" s="1058"/>
    </row>
    <row r="51" spans="1:12" ht="47.25" x14ac:dyDescent="0.25">
      <c r="A51" s="949"/>
      <c r="B51" s="911" t="s">
        <v>633</v>
      </c>
      <c r="C51" s="1013" t="s">
        <v>62</v>
      </c>
      <c r="D51" s="1018" t="s">
        <v>543</v>
      </c>
      <c r="E51" s="1016">
        <f t="shared" si="0"/>
        <v>19.87</v>
      </c>
      <c r="F51" s="1016"/>
      <c r="G51" s="1046">
        <v>19.87</v>
      </c>
      <c r="H51" s="1017"/>
      <c r="I51" s="1056">
        <f t="shared" si="1"/>
        <v>0</v>
      </c>
      <c r="J51" s="1058"/>
      <c r="K51" s="1058"/>
      <c r="L51" s="1058"/>
    </row>
    <row r="52" spans="1:12" ht="63" x14ac:dyDescent="0.25">
      <c r="A52" s="949"/>
      <c r="B52" s="911" t="s">
        <v>634</v>
      </c>
      <c r="C52" s="1013" t="s">
        <v>62</v>
      </c>
      <c r="D52" s="1018" t="s">
        <v>543</v>
      </c>
      <c r="E52" s="1016">
        <f t="shared" si="0"/>
        <v>334.52</v>
      </c>
      <c r="F52" s="1016"/>
      <c r="G52" s="1046">
        <v>334.52</v>
      </c>
      <c r="H52" s="1017"/>
      <c r="I52" s="1056">
        <f t="shared" si="1"/>
        <v>34.51</v>
      </c>
      <c r="J52" s="1058"/>
      <c r="K52" s="1058">
        <v>34.51</v>
      </c>
      <c r="L52" s="1058"/>
    </row>
    <row r="53" spans="1:12" ht="47.25" x14ac:dyDescent="0.25">
      <c r="A53" s="949"/>
      <c r="B53" s="911" t="s">
        <v>635</v>
      </c>
      <c r="C53" s="1013" t="s">
        <v>62</v>
      </c>
      <c r="D53" s="1018" t="s">
        <v>543</v>
      </c>
      <c r="E53" s="1016">
        <f t="shared" si="0"/>
        <v>1108.98</v>
      </c>
      <c r="F53" s="1016"/>
      <c r="G53" s="1046">
        <v>1108.98</v>
      </c>
      <c r="H53" s="1017"/>
      <c r="I53" s="1056">
        <f t="shared" si="1"/>
        <v>0</v>
      </c>
      <c r="J53" s="1058"/>
      <c r="K53" s="1058"/>
      <c r="L53" s="1058"/>
    </row>
    <row r="54" spans="1:12" ht="78.75" x14ac:dyDescent="0.25">
      <c r="A54" s="949"/>
      <c r="B54" s="911" t="s">
        <v>636</v>
      </c>
      <c r="C54" s="1013" t="s">
        <v>62</v>
      </c>
      <c r="D54" s="1018" t="s">
        <v>543</v>
      </c>
      <c r="E54" s="1016">
        <f t="shared" si="0"/>
        <v>244.8</v>
      </c>
      <c r="F54" s="1016"/>
      <c r="G54" s="1046">
        <v>244.8</v>
      </c>
      <c r="H54" s="1017"/>
      <c r="I54" s="1056">
        <f t="shared" si="1"/>
        <v>77.849999999999994</v>
      </c>
      <c r="J54" s="1058"/>
      <c r="K54" s="1058">
        <v>77.849999999999994</v>
      </c>
      <c r="L54" s="1058"/>
    </row>
    <row r="55" spans="1:12" ht="78.75" x14ac:dyDescent="0.25">
      <c r="A55" s="892" t="s">
        <v>339</v>
      </c>
      <c r="B55" s="893" t="s">
        <v>604</v>
      </c>
      <c r="C55" s="1014" t="s">
        <v>62</v>
      </c>
      <c r="D55" s="1015" t="s">
        <v>543</v>
      </c>
      <c r="E55" s="1016">
        <f t="shared" si="0"/>
        <v>4817.51</v>
      </c>
      <c r="F55" s="1016">
        <f>SUM(F56:F60)</f>
        <v>0</v>
      </c>
      <c r="G55" s="1047">
        <v>4817.51</v>
      </c>
      <c r="H55" s="1016">
        <f>SUM(H56:H60)</f>
        <v>0</v>
      </c>
      <c r="I55" s="1056">
        <f t="shared" si="1"/>
        <v>4238.57</v>
      </c>
      <c r="J55" s="1058">
        <f>SUM(J56:J60)</f>
        <v>0</v>
      </c>
      <c r="K55" s="1058">
        <v>4207.41</v>
      </c>
      <c r="L55" s="1058">
        <v>31.16</v>
      </c>
    </row>
    <row r="56" spans="1:12" ht="63" x14ac:dyDescent="0.25">
      <c r="A56" s="949"/>
      <c r="B56" s="898" t="s">
        <v>637</v>
      </c>
      <c r="C56" s="1013" t="s">
        <v>62</v>
      </c>
      <c r="D56" s="1018" t="s">
        <v>543</v>
      </c>
      <c r="E56" s="1016">
        <f t="shared" si="0"/>
        <v>270</v>
      </c>
      <c r="F56" s="1016"/>
      <c r="G56" s="1046">
        <v>270</v>
      </c>
      <c r="H56" s="1017"/>
      <c r="I56" s="1056">
        <f t="shared" si="1"/>
        <v>257.79000000000002</v>
      </c>
      <c r="J56" s="1058"/>
      <c r="K56" s="1058">
        <v>250</v>
      </c>
      <c r="L56" s="1058">
        <v>7.79</v>
      </c>
    </row>
    <row r="57" spans="1:12" ht="63" x14ac:dyDescent="0.25">
      <c r="A57" s="949"/>
      <c r="B57" s="898" t="s">
        <v>638</v>
      </c>
      <c r="C57" s="1013" t="s">
        <v>62</v>
      </c>
      <c r="D57" s="1018" t="s">
        <v>543</v>
      </c>
      <c r="E57" s="1016">
        <f t="shared" si="0"/>
        <v>486</v>
      </c>
      <c r="F57" s="1016"/>
      <c r="G57" s="1046">
        <v>486</v>
      </c>
      <c r="H57" s="1017"/>
      <c r="I57" s="1056">
        <f t="shared" si="1"/>
        <v>457.79</v>
      </c>
      <c r="J57" s="1058"/>
      <c r="K57" s="1058">
        <v>450</v>
      </c>
      <c r="L57" s="1058">
        <v>7.79</v>
      </c>
    </row>
    <row r="58" spans="1:12" ht="47.25" x14ac:dyDescent="0.25">
      <c r="A58" s="949"/>
      <c r="B58" s="898" t="s">
        <v>639</v>
      </c>
      <c r="C58" s="1013" t="s">
        <v>62</v>
      </c>
      <c r="D58" s="1018" t="s">
        <v>543</v>
      </c>
      <c r="E58" s="1016">
        <f t="shared" si="0"/>
        <v>44.55</v>
      </c>
      <c r="F58" s="1016"/>
      <c r="G58" s="1046">
        <v>44.55</v>
      </c>
      <c r="H58" s="1017"/>
      <c r="I58" s="1056">
        <f t="shared" si="1"/>
        <v>27.79</v>
      </c>
      <c r="J58" s="1058"/>
      <c r="K58" s="1058">
        <v>20</v>
      </c>
      <c r="L58" s="1058">
        <v>7.79</v>
      </c>
    </row>
    <row r="59" spans="1:12" ht="63" x14ac:dyDescent="0.25">
      <c r="A59" s="949"/>
      <c r="B59" s="898" t="s">
        <v>640</v>
      </c>
      <c r="C59" s="1013" t="s">
        <v>62</v>
      </c>
      <c r="D59" s="1018" t="s">
        <v>543</v>
      </c>
      <c r="E59" s="1016">
        <f t="shared" si="0"/>
        <v>52.8</v>
      </c>
      <c r="F59" s="1016"/>
      <c r="G59" s="1046">
        <v>52.8</v>
      </c>
      <c r="H59" s="1017"/>
      <c r="I59" s="1056">
        <f t="shared" si="1"/>
        <v>43.79</v>
      </c>
      <c r="J59" s="1058"/>
      <c r="K59" s="1058">
        <v>36</v>
      </c>
      <c r="L59" s="1058">
        <v>7.79</v>
      </c>
    </row>
    <row r="60" spans="1:12" ht="47.25" x14ac:dyDescent="0.25">
      <c r="A60" s="949"/>
      <c r="B60" s="898" t="s">
        <v>641</v>
      </c>
      <c r="C60" s="1013" t="s">
        <v>62</v>
      </c>
      <c r="D60" s="1018" t="s">
        <v>543</v>
      </c>
      <c r="E60" s="1016">
        <f t="shared" si="0"/>
        <v>3964.16</v>
      </c>
      <c r="F60" s="1016"/>
      <c r="G60" s="1046">
        <v>3964.16</v>
      </c>
      <c r="H60" s="1017"/>
      <c r="I60" s="1056">
        <f t="shared" si="1"/>
        <v>3451.42</v>
      </c>
      <c r="J60" s="1058"/>
      <c r="K60" s="1058">
        <v>3451.42</v>
      </c>
      <c r="L60" s="1058"/>
    </row>
    <row r="61" spans="1:12" ht="220.5" x14ac:dyDescent="0.25">
      <c r="A61" s="949" t="s">
        <v>343</v>
      </c>
      <c r="B61" s="898" t="s">
        <v>495</v>
      </c>
      <c r="C61" s="1013" t="s">
        <v>62</v>
      </c>
      <c r="D61" s="1018" t="s">
        <v>543</v>
      </c>
      <c r="E61" s="1016">
        <f t="shared" si="0"/>
        <v>250</v>
      </c>
      <c r="F61" s="1016"/>
      <c r="G61" s="1046"/>
      <c r="H61" s="1017">
        <v>250</v>
      </c>
      <c r="I61" s="1056">
        <f t="shared" si="1"/>
        <v>0</v>
      </c>
      <c r="J61" s="1058"/>
      <c r="K61" s="1058"/>
      <c r="L61" s="1058"/>
    </row>
    <row r="62" spans="1:12" ht="78.75" x14ac:dyDescent="0.25">
      <c r="A62" s="892" t="s">
        <v>132</v>
      </c>
      <c r="B62" s="893" t="s">
        <v>131</v>
      </c>
      <c r="C62" s="1014"/>
      <c r="D62" s="1015"/>
      <c r="E62" s="1016">
        <f t="shared" si="0"/>
        <v>152935</v>
      </c>
      <c r="F62" s="1016">
        <f>SUM(F63+F67+F70+F71)</f>
        <v>0</v>
      </c>
      <c r="G62" s="1046">
        <f>SUM(G63+G67+G70+G71)</f>
        <v>0</v>
      </c>
      <c r="H62" s="1017">
        <f>SUM(H63+H67+H70+H71)</f>
        <v>152935</v>
      </c>
      <c r="I62" s="1056">
        <f>SUM(J62:L62)</f>
        <v>50358.99</v>
      </c>
      <c r="J62" s="1058">
        <f>SUM(J63+J67+J70+J71)</f>
        <v>35695.39</v>
      </c>
      <c r="K62" s="1058">
        <f t="shared" ref="K62" si="4">SUM(K63+K67+K70+K71)</f>
        <v>0</v>
      </c>
      <c r="L62" s="1058">
        <f>SUM(L63+L67+L70+L71)</f>
        <v>14663.6</v>
      </c>
    </row>
    <row r="63" spans="1:12" ht="94.5" x14ac:dyDescent="0.25">
      <c r="A63" s="892" t="s">
        <v>570</v>
      </c>
      <c r="B63" s="893" t="s">
        <v>571</v>
      </c>
      <c r="C63" s="1014" t="s">
        <v>62</v>
      </c>
      <c r="D63" s="1015" t="s">
        <v>543</v>
      </c>
      <c r="E63" s="1016">
        <f t="shared" si="0"/>
        <v>144144</v>
      </c>
      <c r="F63" s="1016">
        <f>SUM(F64:F66)</f>
        <v>0</v>
      </c>
      <c r="G63" s="1046">
        <f>SUM(G64:G66)</f>
        <v>0</v>
      </c>
      <c r="H63" s="1017">
        <v>144144</v>
      </c>
      <c r="I63" s="1056">
        <f>SUM(J63:L63)</f>
        <v>47274.49</v>
      </c>
      <c r="J63" s="1058">
        <v>35695.39</v>
      </c>
      <c r="K63" s="1058">
        <f>SUM(K64:K66)</f>
        <v>0</v>
      </c>
      <c r="L63" s="1058">
        <v>11579.1</v>
      </c>
    </row>
    <row r="64" spans="1:12" ht="204.75" x14ac:dyDescent="0.25">
      <c r="A64" s="949"/>
      <c r="B64" s="898" t="s">
        <v>642</v>
      </c>
      <c r="C64" s="1013" t="s">
        <v>62</v>
      </c>
      <c r="D64" s="1018" t="s">
        <v>543</v>
      </c>
      <c r="E64" s="1016">
        <f t="shared" si="0"/>
        <v>144144</v>
      </c>
      <c r="F64" s="1016"/>
      <c r="G64" s="1046"/>
      <c r="H64" s="1017">
        <v>144144</v>
      </c>
      <c r="I64" s="1056">
        <f t="shared" si="1"/>
        <v>47274.49</v>
      </c>
      <c r="J64" s="1058">
        <v>35695.39</v>
      </c>
      <c r="K64" s="1058"/>
      <c r="L64" s="1058">
        <v>11579.1</v>
      </c>
    </row>
    <row r="65" spans="1:14" ht="126" x14ac:dyDescent="0.25">
      <c r="A65" s="949"/>
      <c r="B65" s="898" t="s">
        <v>643</v>
      </c>
      <c r="C65" s="1013" t="s">
        <v>62</v>
      </c>
      <c r="D65" s="1018" t="s">
        <v>543</v>
      </c>
      <c r="E65" s="1016">
        <f t="shared" si="0"/>
        <v>0</v>
      </c>
      <c r="F65" s="1016"/>
      <c r="G65" s="1046"/>
      <c r="H65" s="1017"/>
      <c r="I65" s="1056">
        <f t="shared" si="1"/>
        <v>0</v>
      </c>
      <c r="J65" s="1058"/>
      <c r="K65" s="1058"/>
      <c r="L65" s="1058"/>
    </row>
    <row r="66" spans="1:14" ht="110.25" x14ac:dyDescent="0.25">
      <c r="A66" s="949"/>
      <c r="B66" s="898" t="s">
        <v>644</v>
      </c>
      <c r="C66" s="1013" t="s">
        <v>62</v>
      </c>
      <c r="D66" s="1018" t="s">
        <v>543</v>
      </c>
      <c r="E66" s="1016">
        <f t="shared" si="0"/>
        <v>0</v>
      </c>
      <c r="F66" s="1016"/>
      <c r="G66" s="1046"/>
      <c r="H66" s="1017"/>
      <c r="I66" s="1056">
        <f t="shared" si="1"/>
        <v>0</v>
      </c>
      <c r="J66" s="1058"/>
      <c r="K66" s="1058"/>
      <c r="L66" s="1058"/>
    </row>
    <row r="67" spans="1:14" ht="94.5" x14ac:dyDescent="0.25">
      <c r="A67" s="949" t="s">
        <v>586</v>
      </c>
      <c r="B67" s="898" t="s">
        <v>587</v>
      </c>
      <c r="C67" s="1013" t="s">
        <v>62</v>
      </c>
      <c r="D67" s="1018" t="s">
        <v>550</v>
      </c>
      <c r="E67" s="1016">
        <f t="shared" si="0"/>
        <v>0</v>
      </c>
      <c r="F67" s="1016">
        <f>SUM(F68:F69)</f>
        <v>0</v>
      </c>
      <c r="G67" s="1046">
        <f>SUM(G68:G69)</f>
        <v>0</v>
      </c>
      <c r="H67" s="1017">
        <f>SUM(H68:H69)</f>
        <v>0</v>
      </c>
      <c r="I67" s="1056">
        <f t="shared" si="1"/>
        <v>0</v>
      </c>
      <c r="J67" s="1058">
        <f>SUM(J68:J69)</f>
        <v>0</v>
      </c>
      <c r="K67" s="1058">
        <f>SUM(K68:K69)</f>
        <v>0</v>
      </c>
      <c r="L67" s="1058">
        <f>SUM(L68:L69)</f>
        <v>0</v>
      </c>
    </row>
    <row r="68" spans="1:14" ht="47.25" x14ac:dyDescent="0.25">
      <c r="A68" s="949"/>
      <c r="B68" s="898" t="s">
        <v>645</v>
      </c>
      <c r="C68" s="1013" t="s">
        <v>62</v>
      </c>
      <c r="D68" s="1018" t="s">
        <v>550</v>
      </c>
      <c r="E68" s="1016">
        <f t="shared" si="0"/>
        <v>0</v>
      </c>
      <c r="F68" s="1016"/>
      <c r="G68" s="1046"/>
      <c r="H68" s="1017"/>
      <c r="I68" s="1056">
        <f t="shared" si="1"/>
        <v>0</v>
      </c>
      <c r="J68" s="1058"/>
      <c r="K68" s="1058"/>
      <c r="L68" s="1058"/>
    </row>
    <row r="69" spans="1:14" ht="110.25" x14ac:dyDescent="0.25">
      <c r="A69" s="949"/>
      <c r="B69" s="898" t="s">
        <v>646</v>
      </c>
      <c r="C69" s="1013" t="s">
        <v>62</v>
      </c>
      <c r="D69" s="1018" t="s">
        <v>550</v>
      </c>
      <c r="E69" s="1016">
        <f t="shared" si="0"/>
        <v>0</v>
      </c>
      <c r="F69" s="1016"/>
      <c r="G69" s="1046"/>
      <c r="H69" s="1017"/>
      <c r="I69" s="1056">
        <f t="shared" si="1"/>
        <v>0</v>
      </c>
      <c r="J69" s="1058"/>
      <c r="K69" s="1058"/>
      <c r="L69" s="1058"/>
    </row>
    <row r="70" spans="1:14" ht="236.25" x14ac:dyDescent="0.25">
      <c r="A70" s="949" t="s">
        <v>367</v>
      </c>
      <c r="B70" s="898" t="s">
        <v>572</v>
      </c>
      <c r="C70" s="1013" t="s">
        <v>62</v>
      </c>
      <c r="D70" s="1018" t="s">
        <v>543</v>
      </c>
      <c r="E70" s="1016">
        <f t="shared" si="0"/>
        <v>450</v>
      </c>
      <c r="F70" s="1016"/>
      <c r="G70" s="1046"/>
      <c r="H70" s="1017">
        <v>450</v>
      </c>
      <c r="I70" s="1056">
        <f t="shared" si="1"/>
        <v>0</v>
      </c>
      <c r="J70" s="1058"/>
      <c r="K70" s="1058"/>
      <c r="L70" s="1058"/>
    </row>
    <row r="71" spans="1:14" ht="252" x14ac:dyDescent="0.25">
      <c r="A71" s="949" t="s">
        <v>514</v>
      </c>
      <c r="B71" s="898" t="s">
        <v>573</v>
      </c>
      <c r="C71" s="1013" t="s">
        <v>599</v>
      </c>
      <c r="D71" s="1018" t="s">
        <v>543</v>
      </c>
      <c r="E71" s="1016">
        <f t="shared" si="0"/>
        <v>8341</v>
      </c>
      <c r="F71" s="1016"/>
      <c r="G71" s="1046"/>
      <c r="H71" s="1017">
        <v>8341</v>
      </c>
      <c r="I71" s="1056">
        <f t="shared" si="1"/>
        <v>3084.5</v>
      </c>
      <c r="J71" s="1058"/>
      <c r="K71" s="1058"/>
      <c r="L71" s="1058">
        <v>3084.5</v>
      </c>
      <c r="N71" s="1003">
        <v>100000</v>
      </c>
    </row>
    <row r="72" spans="1:14" ht="141.75" x14ac:dyDescent="0.25">
      <c r="A72" s="892" t="s">
        <v>379</v>
      </c>
      <c r="B72" s="893" t="s">
        <v>574</v>
      </c>
      <c r="C72" s="1014"/>
      <c r="D72" s="1015"/>
      <c r="E72" s="1016">
        <f t="shared" si="0"/>
        <v>28618.21</v>
      </c>
      <c r="F72" s="1016">
        <f>F73+F79+F80</f>
        <v>0</v>
      </c>
      <c r="G72" s="1046">
        <f>G73+G79</f>
        <v>28330.21</v>
      </c>
      <c r="H72" s="1017">
        <v>288</v>
      </c>
      <c r="I72" s="1056">
        <f t="shared" si="1"/>
        <v>5231.38</v>
      </c>
      <c r="J72" s="1058">
        <f>J73+J79+J80</f>
        <v>0</v>
      </c>
      <c r="K72" s="1058">
        <f>K73+K79+K80</f>
        <v>2052.88</v>
      </c>
      <c r="L72" s="1058">
        <f>L73+L79+L80</f>
        <v>3178.5</v>
      </c>
    </row>
    <row r="73" spans="1:14" ht="157.5" x14ac:dyDescent="0.25">
      <c r="A73" s="892" t="s">
        <v>380</v>
      </c>
      <c r="B73" s="919" t="s">
        <v>598</v>
      </c>
      <c r="C73" s="1014" t="s">
        <v>62</v>
      </c>
      <c r="D73" s="1015" t="s">
        <v>543</v>
      </c>
      <c r="E73" s="1016">
        <f t="shared" si="0"/>
        <v>28293.61</v>
      </c>
      <c r="F73" s="1016">
        <f>SUM(F74:F78)</f>
        <v>0</v>
      </c>
      <c r="G73" s="1046">
        <v>28293.61</v>
      </c>
      <c r="H73" s="1017">
        <f>SUM(H74:H78)</f>
        <v>0</v>
      </c>
      <c r="I73" s="1056">
        <f t="shared" si="1"/>
        <v>2733</v>
      </c>
      <c r="J73" s="1058">
        <f>SUM(J74:J78)</f>
        <v>0</v>
      </c>
      <c r="K73" s="1058">
        <v>2052.88</v>
      </c>
      <c r="L73" s="1058">
        <v>680.12</v>
      </c>
    </row>
    <row r="74" spans="1:14" ht="78.75" x14ac:dyDescent="0.25">
      <c r="A74" s="949"/>
      <c r="B74" s="920" t="s">
        <v>647</v>
      </c>
      <c r="C74" s="1013" t="s">
        <v>62</v>
      </c>
      <c r="D74" s="1018" t="s">
        <v>543</v>
      </c>
      <c r="E74" s="1016">
        <f t="shared" si="0"/>
        <v>14242.57</v>
      </c>
      <c r="F74" s="1016"/>
      <c r="G74" s="1046">
        <v>14242.57</v>
      </c>
      <c r="H74" s="1017"/>
      <c r="I74" s="1056">
        <f t="shared" si="1"/>
        <v>330.91</v>
      </c>
      <c r="J74" s="1058"/>
      <c r="K74" s="1058">
        <v>0</v>
      </c>
      <c r="L74" s="1058">
        <v>330.91</v>
      </c>
    </row>
    <row r="75" spans="1:14" ht="47.25" x14ac:dyDescent="0.25">
      <c r="A75" s="949"/>
      <c r="B75" s="920" t="s">
        <v>648</v>
      </c>
      <c r="C75" s="1013" t="s">
        <v>62</v>
      </c>
      <c r="D75" s="1018" t="s">
        <v>543</v>
      </c>
      <c r="E75" s="1016">
        <f t="shared" ref="E75:E80" si="5">SUM(F75:H75)</f>
        <v>11081.87</v>
      </c>
      <c r="F75" s="1016"/>
      <c r="G75" s="1046">
        <v>11081.87</v>
      </c>
      <c r="H75" s="1017"/>
      <c r="I75" s="1056">
        <f t="shared" si="1"/>
        <v>1.3</v>
      </c>
      <c r="J75" s="1058"/>
      <c r="K75" s="1058"/>
      <c r="L75" s="1058">
        <v>1.3</v>
      </c>
    </row>
    <row r="76" spans="1:14" ht="47.25" x14ac:dyDescent="0.25">
      <c r="A76" s="949"/>
      <c r="B76" s="920" t="s">
        <v>943</v>
      </c>
      <c r="C76" s="1013" t="s">
        <v>62</v>
      </c>
      <c r="D76" s="1018" t="s">
        <v>543</v>
      </c>
      <c r="E76" s="1016">
        <f t="shared" si="5"/>
        <v>662.49</v>
      </c>
      <c r="F76" s="1016"/>
      <c r="G76" s="1046">
        <v>662.49</v>
      </c>
      <c r="H76" s="1017"/>
      <c r="I76" s="1056">
        <f t="shared" si="1"/>
        <v>307.29000000000002</v>
      </c>
      <c r="J76" s="1058"/>
      <c r="K76" s="1058">
        <v>292.56</v>
      </c>
      <c r="L76" s="1058">
        <v>14.73</v>
      </c>
    </row>
    <row r="77" spans="1:14" ht="47.25" x14ac:dyDescent="0.25">
      <c r="A77" s="949"/>
      <c r="B77" s="900" t="s">
        <v>650</v>
      </c>
      <c r="C77" s="1013" t="s">
        <v>62</v>
      </c>
      <c r="D77" s="1018" t="s">
        <v>543</v>
      </c>
      <c r="E77" s="1016">
        <f t="shared" si="5"/>
        <v>1565.69</v>
      </c>
      <c r="F77" s="1016"/>
      <c r="G77" s="1046">
        <v>1565.69</v>
      </c>
      <c r="H77" s="1017"/>
      <c r="I77" s="1056">
        <f t="shared" ref="I77:I80" si="6">SUM(J77:L77)</f>
        <v>1125.26</v>
      </c>
      <c r="J77" s="1058"/>
      <c r="K77" s="1058">
        <v>1112.47</v>
      </c>
      <c r="L77" s="1058">
        <v>12.79</v>
      </c>
    </row>
    <row r="78" spans="1:14" ht="94.5" x14ac:dyDescent="0.25">
      <c r="A78" s="949"/>
      <c r="B78" s="900" t="s">
        <v>651</v>
      </c>
      <c r="C78" s="1013" t="s">
        <v>62</v>
      </c>
      <c r="D78" s="1018" t="s">
        <v>543</v>
      </c>
      <c r="E78" s="1016">
        <f t="shared" si="5"/>
        <v>740.99</v>
      </c>
      <c r="F78" s="1016"/>
      <c r="G78" s="1046">
        <v>740.99</v>
      </c>
      <c r="H78" s="1017"/>
      <c r="I78" s="1056">
        <f t="shared" si="6"/>
        <v>968.23</v>
      </c>
      <c r="J78" s="1058"/>
      <c r="K78" s="1058">
        <v>647.85</v>
      </c>
      <c r="L78" s="1058">
        <v>320.38</v>
      </c>
    </row>
    <row r="79" spans="1:14" ht="110.25" x14ac:dyDescent="0.25">
      <c r="A79" s="949" t="s">
        <v>576</v>
      </c>
      <c r="B79" s="920" t="s">
        <v>577</v>
      </c>
      <c r="C79" s="1013" t="s">
        <v>575</v>
      </c>
      <c r="D79" s="1018" t="s">
        <v>543</v>
      </c>
      <c r="E79" s="1016">
        <f t="shared" si="5"/>
        <v>36.6</v>
      </c>
      <c r="F79" s="1016"/>
      <c r="G79" s="1046">
        <v>36.6</v>
      </c>
      <c r="H79" s="1017"/>
      <c r="I79" s="1056">
        <f t="shared" si="6"/>
        <v>2498.38</v>
      </c>
      <c r="J79" s="1058"/>
      <c r="K79" s="1058"/>
      <c r="L79" s="1058">
        <v>2498.38</v>
      </c>
      <c r="N79" s="1003"/>
    </row>
    <row r="80" spans="1:14" ht="267.75" x14ac:dyDescent="0.25">
      <c r="A80" s="949" t="s">
        <v>384</v>
      </c>
      <c r="B80" s="898" t="s">
        <v>578</v>
      </c>
      <c r="C80" s="1013" t="s">
        <v>62</v>
      </c>
      <c r="D80" s="1018" t="s">
        <v>543</v>
      </c>
      <c r="E80" s="1016">
        <f t="shared" si="5"/>
        <v>288</v>
      </c>
      <c r="F80" s="1016"/>
      <c r="G80" s="1046"/>
      <c r="H80" s="1017">
        <v>288</v>
      </c>
      <c r="I80" s="1056">
        <f t="shared" si="6"/>
        <v>0</v>
      </c>
      <c r="J80" s="1058"/>
      <c r="K80" s="1058"/>
      <c r="L80" s="1058"/>
    </row>
    <row r="81" spans="1:16" x14ac:dyDescent="0.25">
      <c r="A81" s="1233" t="s">
        <v>7</v>
      </c>
      <c r="B81" s="1233"/>
      <c r="C81" s="1233"/>
      <c r="D81" s="1233"/>
      <c r="E81" s="1016">
        <f>E10+E30+E41+E62+E72</f>
        <v>247739.02</v>
      </c>
      <c r="F81" s="1016">
        <f t="shared" ref="F81:K81" si="7">F10+F30+F41+F62+F72</f>
        <v>0</v>
      </c>
      <c r="G81" s="1047">
        <f t="shared" si="7"/>
        <v>46666.619999999995</v>
      </c>
      <c r="H81" s="1016">
        <f t="shared" si="7"/>
        <v>201072.4</v>
      </c>
      <c r="I81" s="1058">
        <f t="shared" si="7"/>
        <v>108652.48000000001</v>
      </c>
      <c r="J81" s="1058">
        <f t="shared" si="7"/>
        <v>36909.26</v>
      </c>
      <c r="K81" s="1058">
        <f t="shared" si="7"/>
        <v>10218.26</v>
      </c>
      <c r="L81" s="1058">
        <f>L10+L30+L41+L62+L72</f>
        <v>61524.959999999999</v>
      </c>
    </row>
    <row r="82" spans="1:16" s="959" customFormat="1" x14ac:dyDescent="0.25">
      <c r="A82" s="879"/>
      <c r="B82" s="879"/>
      <c r="C82" s="1009"/>
      <c r="D82" s="1010"/>
      <c r="E82" s="1011"/>
      <c r="F82" s="1011"/>
      <c r="G82" s="1038"/>
      <c r="H82" s="1011"/>
      <c r="I82" s="1040"/>
      <c r="J82" s="1040"/>
      <c r="K82" s="1040"/>
      <c r="L82" s="1040"/>
      <c r="N82" s="961"/>
      <c r="P82" s="961"/>
    </row>
    <row r="83" spans="1:16" s="959" customFormat="1" x14ac:dyDescent="0.25">
      <c r="A83" s="921"/>
      <c r="B83" s="922"/>
      <c r="C83" s="1026"/>
      <c r="D83" s="1027"/>
      <c r="E83" s="1027"/>
      <c r="F83" s="1027"/>
      <c r="G83" s="1049"/>
      <c r="H83" s="1009"/>
      <c r="I83" s="1059"/>
      <c r="J83" s="1059"/>
      <c r="K83" s="1059"/>
      <c r="L83" s="1059"/>
      <c r="N83" s="961"/>
      <c r="P83" s="961"/>
    </row>
    <row r="84" spans="1:16" s="959" customFormat="1" x14ac:dyDescent="0.25">
      <c r="A84" s="921"/>
      <c r="B84" s="922"/>
      <c r="C84" s="1026"/>
      <c r="D84" s="1027"/>
      <c r="E84" s="1027"/>
      <c r="F84" s="1027"/>
      <c r="G84" s="1049"/>
      <c r="H84" s="1009"/>
      <c r="I84" s="1059"/>
      <c r="J84" s="1059"/>
      <c r="K84" s="1059"/>
      <c r="L84" s="1059"/>
      <c r="N84" s="961"/>
      <c r="P84" s="961"/>
    </row>
    <row r="85" spans="1:16" s="959" customFormat="1" x14ac:dyDescent="0.25">
      <c r="A85" s="921"/>
      <c r="B85" s="922"/>
      <c r="C85" s="1026"/>
      <c r="D85" s="1027"/>
      <c r="E85" s="1027"/>
      <c r="F85" s="1027"/>
      <c r="G85" s="1049"/>
      <c r="H85" s="1009"/>
      <c r="I85" s="1059"/>
      <c r="J85" s="1059"/>
      <c r="K85" s="1059"/>
      <c r="L85" s="1059"/>
      <c r="N85" s="961"/>
      <c r="P85" s="961"/>
    </row>
    <row r="86" spans="1:16" s="959" customFormat="1" x14ac:dyDescent="0.25">
      <c r="A86" s="921"/>
      <c r="B86" s="922"/>
      <c r="C86" s="1026"/>
      <c r="D86" s="1027"/>
      <c r="E86" s="1027"/>
      <c r="F86" s="1027"/>
      <c r="G86" s="1049"/>
      <c r="H86" s="1009"/>
      <c r="I86" s="1059"/>
      <c r="J86" s="1059"/>
      <c r="K86" s="1059"/>
      <c r="L86" s="1059"/>
      <c r="N86" s="961"/>
      <c r="P86" s="961"/>
    </row>
    <row r="87" spans="1:16" s="959" customFormat="1" x14ac:dyDescent="0.25">
      <c r="A87" s="879"/>
      <c r="B87" s="879"/>
      <c r="C87" s="1009"/>
      <c r="D87" s="1010"/>
      <c r="E87" s="1011"/>
      <c r="F87" s="1011"/>
      <c r="G87" s="1038"/>
      <c r="H87" s="1011"/>
      <c r="I87" s="1040"/>
      <c r="J87" s="1040"/>
      <c r="K87" s="1040"/>
      <c r="L87" s="1064"/>
      <c r="N87" s="961"/>
      <c r="P87" s="961"/>
    </row>
    <row r="88" spans="1:16" s="959" customFormat="1" x14ac:dyDescent="0.25">
      <c r="A88" s="927" t="s">
        <v>8</v>
      </c>
      <c r="B88" s="928"/>
      <c r="C88" s="1028"/>
      <c r="D88" s="1029"/>
      <c r="E88" s="1030"/>
      <c r="F88" s="1030"/>
      <c r="G88" s="1050"/>
      <c r="H88" s="1031"/>
      <c r="I88" s="1060"/>
      <c r="J88" s="1060"/>
      <c r="K88" s="1040"/>
      <c r="L88" s="1064"/>
      <c r="N88" s="961"/>
      <c r="P88" s="961"/>
    </row>
    <row r="89" spans="1:16" s="959" customFormat="1" x14ac:dyDescent="0.25">
      <c r="A89" s="934"/>
      <c r="B89" s="935"/>
      <c r="C89" s="1027"/>
      <c r="D89" s="1030"/>
      <c r="E89" s="1030"/>
      <c r="F89" s="1030"/>
      <c r="G89" s="1050"/>
      <c r="H89" s="1031"/>
      <c r="I89" s="1059"/>
      <c r="J89" s="1059" t="s">
        <v>9</v>
      </c>
      <c r="K89" s="1040"/>
      <c r="L89" s="1064"/>
      <c r="N89" s="961"/>
      <c r="P89" s="961"/>
    </row>
    <row r="90" spans="1:16" s="959" customFormat="1" x14ac:dyDescent="0.25">
      <c r="A90" s="934"/>
      <c r="B90" s="1234" t="s">
        <v>10</v>
      </c>
      <c r="C90" s="1235"/>
      <c r="D90" s="1236"/>
      <c r="E90" s="1248" t="s">
        <v>11</v>
      </c>
      <c r="F90" s="1249"/>
      <c r="G90" s="1250"/>
      <c r="H90" s="1248" t="s">
        <v>12</v>
      </c>
      <c r="I90" s="1249"/>
      <c r="J90" s="1250"/>
      <c r="K90" s="1040"/>
      <c r="L90" s="1040"/>
      <c r="N90" s="961"/>
      <c r="P90" s="961"/>
    </row>
    <row r="91" spans="1:16" s="959" customFormat="1" ht="31.5" x14ac:dyDescent="0.25">
      <c r="A91" s="934"/>
      <c r="B91" s="1001" t="s">
        <v>13</v>
      </c>
      <c r="C91" s="1013" t="s">
        <v>14</v>
      </c>
      <c r="D91" s="1018" t="s">
        <v>15</v>
      </c>
      <c r="E91" s="1018" t="s">
        <v>13</v>
      </c>
      <c r="F91" s="1018" t="s">
        <v>14</v>
      </c>
      <c r="G91" s="1051" t="s">
        <v>15</v>
      </c>
      <c r="H91" s="1018" t="s">
        <v>13</v>
      </c>
      <c r="I91" s="1055" t="s">
        <v>14</v>
      </c>
      <c r="J91" s="1055" t="s">
        <v>15</v>
      </c>
      <c r="K91" s="1040"/>
      <c r="L91" s="1040"/>
      <c r="N91" s="961"/>
      <c r="P91" s="961"/>
    </row>
    <row r="92" spans="1:16" s="960" customFormat="1" x14ac:dyDescent="0.25">
      <c r="A92" s="937"/>
      <c r="B92" s="1002">
        <f>SUM(C92:D92)</f>
        <v>247739.02</v>
      </c>
      <c r="C92" s="1032">
        <f>G81</f>
        <v>46666.619999999995</v>
      </c>
      <c r="D92" s="1032">
        <f>F81+H81</f>
        <v>201072.4</v>
      </c>
      <c r="E92" s="1033">
        <f>SUM(F92:G92)</f>
        <v>108652.48</v>
      </c>
      <c r="F92" s="1034">
        <f>K81</f>
        <v>10218.26</v>
      </c>
      <c r="G92" s="1052">
        <f>J81+L81</f>
        <v>98434.22</v>
      </c>
      <c r="H92" s="1035">
        <f>E92-B92</f>
        <v>-139086.53999999998</v>
      </c>
      <c r="I92" s="1061">
        <f>F92-C92</f>
        <v>-36448.359999999993</v>
      </c>
      <c r="J92" s="1061">
        <f>G92-D92</f>
        <v>-102638.18</v>
      </c>
      <c r="K92" s="1063"/>
      <c r="L92" s="1063"/>
      <c r="N92" s="963"/>
      <c r="P92" s="963"/>
    </row>
    <row r="93" spans="1:16" s="959" customFormat="1" x14ac:dyDescent="0.25">
      <c r="A93" s="879"/>
      <c r="B93" s="879"/>
      <c r="C93" s="1009"/>
      <c r="D93" s="1010"/>
      <c r="E93" s="1011"/>
      <c r="F93" s="1011"/>
      <c r="G93" s="1038"/>
      <c r="H93" s="1011"/>
      <c r="I93" s="1040"/>
      <c r="J93" s="1040"/>
      <c r="K93" s="1040"/>
      <c r="L93" s="1040"/>
      <c r="N93" s="961"/>
      <c r="P93" s="961"/>
    </row>
    <row r="94" spans="1:16" s="959" customFormat="1" x14ac:dyDescent="0.25">
      <c r="A94" s="878"/>
      <c r="B94" s="879"/>
      <c r="C94" s="1009"/>
      <c r="D94" s="1010"/>
      <c r="E94" s="1011"/>
      <c r="F94" s="1011"/>
      <c r="G94" s="1039"/>
      <c r="H94" s="1012"/>
      <c r="I94" s="1054"/>
      <c r="J94" s="1040"/>
      <c r="K94" s="1040"/>
      <c r="L94" s="1040"/>
      <c r="N94" s="961"/>
      <c r="P94" s="961"/>
    </row>
    <row r="95" spans="1:16" s="959" customFormat="1" x14ac:dyDescent="0.25">
      <c r="A95" s="878"/>
      <c r="B95" s="879"/>
      <c r="C95" s="1009"/>
      <c r="D95" s="1010"/>
      <c r="E95" s="1011"/>
      <c r="F95" s="1011"/>
      <c r="G95" s="1039"/>
      <c r="H95" s="1012"/>
      <c r="I95" s="1054"/>
      <c r="J95" s="1040"/>
      <c r="K95" s="1040"/>
      <c r="L95" s="1040"/>
      <c r="N95" s="961"/>
      <c r="P95" s="961"/>
    </row>
    <row r="96" spans="1:16" s="959" customFormat="1" x14ac:dyDescent="0.25">
      <c r="A96" s="878"/>
      <c r="B96" s="852"/>
      <c r="C96" s="1009"/>
      <c r="D96" s="1010"/>
      <c r="E96" s="1011"/>
      <c r="F96" s="1011"/>
      <c r="G96" s="1039"/>
      <c r="H96" s="1012"/>
      <c r="I96" s="1054"/>
      <c r="J96" s="1040"/>
      <c r="K96" s="1040"/>
      <c r="L96" s="1040"/>
      <c r="N96" s="961"/>
      <c r="P96" s="961"/>
    </row>
    <row r="97" spans="1:16" customFormat="1" ht="23.25" x14ac:dyDescent="0.35">
      <c r="A97" s="548"/>
      <c r="B97" s="954"/>
      <c r="C97" s="1107" t="s">
        <v>1056</v>
      </c>
      <c r="D97" s="1108"/>
      <c r="E97" s="1108"/>
      <c r="F97" s="1108"/>
      <c r="G97" s="1109" t="s">
        <v>1057</v>
      </c>
      <c r="H97" s="1108"/>
      <c r="I97" s="289"/>
      <c r="J97" s="289"/>
      <c r="K97" s="289"/>
      <c r="L97" s="289"/>
    </row>
    <row r="98" spans="1:16" s="959" customFormat="1" x14ac:dyDescent="0.25">
      <c r="A98" s="878"/>
      <c r="B98" s="237"/>
      <c r="C98" s="1009"/>
      <c r="D98" s="1010"/>
      <c r="E98" s="1011"/>
      <c r="F98" s="1011"/>
      <c r="G98" s="1039"/>
      <c r="H98" s="1012"/>
      <c r="I98" s="1054"/>
      <c r="J98" s="1040"/>
      <c r="K98" s="1040"/>
      <c r="L98" s="1040"/>
      <c r="N98" s="961"/>
      <c r="P98" s="961"/>
    </row>
    <row r="99" spans="1:16" s="959" customFormat="1" x14ac:dyDescent="0.25">
      <c r="A99" s="878"/>
      <c r="B99" s="237"/>
      <c r="C99" s="1009"/>
      <c r="D99" s="1010"/>
      <c r="E99" s="1011"/>
      <c r="F99" s="1011"/>
      <c r="G99" s="1039"/>
      <c r="H99" s="1012"/>
      <c r="I99" s="1054"/>
      <c r="J99" s="1040"/>
      <c r="K99" s="1040"/>
      <c r="L99" s="1040"/>
      <c r="N99" s="961"/>
      <c r="P99" s="961"/>
    </row>
    <row r="100" spans="1:16" s="959" customFormat="1" x14ac:dyDescent="0.25">
      <c r="A100" s="878"/>
      <c r="B100" s="237"/>
      <c r="C100" s="1009"/>
      <c r="D100" s="1010"/>
      <c r="E100" s="1011"/>
      <c r="F100" s="1011"/>
      <c r="G100" s="1039"/>
      <c r="H100" s="1012"/>
      <c r="I100" s="1054"/>
      <c r="J100" s="1040"/>
      <c r="K100" s="1040"/>
      <c r="L100" s="1040"/>
      <c r="N100" s="961"/>
      <c r="P100" s="961"/>
    </row>
    <row r="101" spans="1:16" s="959" customFormat="1" x14ac:dyDescent="0.25">
      <c r="A101" s="878"/>
      <c r="B101" s="720"/>
      <c r="C101" s="1009"/>
      <c r="D101" s="1010"/>
      <c r="E101" s="1011"/>
      <c r="F101" s="1011"/>
      <c r="G101" s="1039"/>
      <c r="H101" s="1012"/>
      <c r="I101" s="1054"/>
      <c r="J101" s="1040"/>
      <c r="K101" s="1040"/>
      <c r="L101" s="1040"/>
      <c r="N101" s="961"/>
      <c r="P101" s="961"/>
    </row>
    <row r="102" spans="1:16" s="959" customFormat="1" x14ac:dyDescent="0.25">
      <c r="A102" s="878"/>
      <c r="B102" s="720"/>
      <c r="C102" s="1009"/>
      <c r="D102" s="1010"/>
      <c r="E102" s="1011"/>
      <c r="F102" s="1011"/>
      <c r="G102" s="1039"/>
      <c r="H102" s="1012"/>
      <c r="I102" s="1054"/>
      <c r="J102" s="1040"/>
      <c r="K102" s="1040"/>
      <c r="L102" s="1040"/>
      <c r="N102" s="961"/>
      <c r="P102" s="961"/>
    </row>
    <row r="103" spans="1:16" s="959" customFormat="1" x14ac:dyDescent="0.25">
      <c r="A103" s="878"/>
      <c r="B103" s="879"/>
      <c r="C103" s="1009"/>
      <c r="D103" s="1010"/>
      <c r="E103" s="1011"/>
      <c r="F103" s="1011"/>
      <c r="G103" s="1039"/>
      <c r="H103" s="1012"/>
      <c r="I103" s="1054"/>
      <c r="J103" s="1040"/>
      <c r="K103" s="1040"/>
      <c r="L103" s="1040"/>
      <c r="N103" s="961"/>
      <c r="P103" s="961"/>
    </row>
    <row r="104" spans="1:16" s="959" customFormat="1" x14ac:dyDescent="0.25">
      <c r="A104" s="878"/>
      <c r="B104" s="879"/>
      <c r="C104" s="1009"/>
      <c r="D104" s="1010"/>
      <c r="E104" s="1011"/>
      <c r="F104" s="1011"/>
      <c r="G104" s="1039"/>
      <c r="H104" s="1012"/>
      <c r="I104" s="1054"/>
      <c r="J104" s="1040"/>
      <c r="K104" s="1040"/>
      <c r="L104" s="1040"/>
      <c r="N104" s="961"/>
      <c r="P104" s="961"/>
    </row>
    <row r="105" spans="1:16" s="959" customFormat="1" x14ac:dyDescent="0.25">
      <c r="A105" s="878"/>
      <c r="B105" s="879"/>
      <c r="C105" s="1009"/>
      <c r="D105" s="1010"/>
      <c r="E105" s="1011"/>
      <c r="F105" s="1011"/>
      <c r="G105" s="1039"/>
      <c r="H105" s="1012"/>
      <c r="I105" s="1054"/>
      <c r="J105" s="1040"/>
      <c r="K105" s="1040"/>
      <c r="L105" s="1040"/>
      <c r="N105" s="961"/>
      <c r="P105" s="961"/>
    </row>
    <row r="106" spans="1:16" s="959" customFormat="1" x14ac:dyDescent="0.25">
      <c r="A106" s="878"/>
      <c r="B106" s="879"/>
      <c r="C106" s="1009"/>
      <c r="D106" s="1010"/>
      <c r="E106" s="1011"/>
      <c r="F106" s="1011"/>
      <c r="G106" s="1039"/>
      <c r="H106" s="1012"/>
      <c r="I106" s="1054"/>
      <c r="J106" s="1040"/>
      <c r="K106" s="1040"/>
      <c r="L106" s="1040"/>
      <c r="N106" s="961"/>
      <c r="P106" s="961"/>
    </row>
    <row r="107" spans="1:16" s="959" customFormat="1" x14ac:dyDescent="0.25">
      <c r="A107" s="878"/>
      <c r="B107" s="879"/>
      <c r="C107" s="1009"/>
      <c r="D107" s="1010"/>
      <c r="E107" s="1011"/>
      <c r="F107" s="1011"/>
      <c r="G107" s="1039"/>
      <c r="H107" s="1012"/>
      <c r="I107" s="1054"/>
      <c r="J107" s="1040"/>
      <c r="K107" s="1040"/>
      <c r="L107" s="1040"/>
      <c r="N107" s="961"/>
      <c r="P107" s="961"/>
    </row>
    <row r="108" spans="1:16" s="959" customFormat="1" x14ac:dyDescent="0.25">
      <c r="A108" s="878"/>
      <c r="B108" s="879"/>
      <c r="C108" s="1009"/>
      <c r="D108" s="1010"/>
      <c r="E108" s="1011"/>
      <c r="F108" s="1011"/>
      <c r="G108" s="1039"/>
      <c r="H108" s="1012"/>
      <c r="I108" s="1054"/>
      <c r="J108" s="1040"/>
      <c r="K108" s="1040"/>
      <c r="L108" s="1040"/>
      <c r="N108" s="961"/>
      <c r="P108" s="961"/>
    </row>
    <row r="109" spans="1:16" s="959" customFormat="1" x14ac:dyDescent="0.25">
      <c r="A109" s="878"/>
      <c r="B109" s="879"/>
      <c r="C109" s="1009"/>
      <c r="D109" s="1010"/>
      <c r="E109" s="1011"/>
      <c r="F109" s="1011"/>
      <c r="G109" s="1039"/>
      <c r="H109" s="1012"/>
      <c r="I109" s="1054"/>
      <c r="J109" s="1040"/>
      <c r="K109" s="1040"/>
      <c r="L109" s="1040"/>
      <c r="N109" s="961"/>
      <c r="P109" s="961"/>
    </row>
    <row r="110" spans="1:16" s="959" customFormat="1" x14ac:dyDescent="0.25">
      <c r="A110" s="878"/>
      <c r="B110" s="879"/>
      <c r="C110" s="1009"/>
      <c r="D110" s="1010"/>
      <c r="E110" s="1011"/>
      <c r="F110" s="1011"/>
      <c r="G110" s="1039"/>
      <c r="H110" s="1012"/>
      <c r="I110" s="1054"/>
      <c r="J110" s="1040"/>
      <c r="K110" s="1040"/>
      <c r="L110" s="1040"/>
      <c r="N110" s="961"/>
      <c r="P110" s="961"/>
    </row>
    <row r="111" spans="1:16" s="959" customFormat="1" x14ac:dyDescent="0.25">
      <c r="A111" s="878"/>
      <c r="B111" s="879"/>
      <c r="C111" s="1009"/>
      <c r="D111" s="1010"/>
      <c r="E111" s="1011"/>
      <c r="F111" s="1011"/>
      <c r="G111" s="1039"/>
      <c r="H111" s="1012"/>
      <c r="I111" s="1054"/>
      <c r="J111" s="1040"/>
      <c r="K111" s="1040"/>
      <c r="L111" s="1040"/>
      <c r="N111" s="961"/>
      <c r="P111" s="961"/>
    </row>
    <row r="112" spans="1:16" s="959" customFormat="1" x14ac:dyDescent="0.25">
      <c r="A112" s="878"/>
      <c r="B112" s="879"/>
      <c r="C112" s="1009"/>
      <c r="D112" s="1010"/>
      <c r="E112" s="1011"/>
      <c r="F112" s="1011"/>
      <c r="G112" s="1039"/>
      <c r="H112" s="1012"/>
      <c r="I112" s="1054"/>
      <c r="J112" s="1040"/>
      <c r="K112" s="1040"/>
      <c r="L112" s="1040"/>
      <c r="N112" s="961"/>
      <c r="P112" s="961"/>
    </row>
    <row r="113" spans="1:16" s="959" customFormat="1" x14ac:dyDescent="0.25">
      <c r="A113" s="878"/>
      <c r="B113" s="879"/>
      <c r="C113" s="1009"/>
      <c r="D113" s="1010"/>
      <c r="E113" s="1011"/>
      <c r="F113" s="1011"/>
      <c r="G113" s="1039"/>
      <c r="H113" s="1012"/>
      <c r="I113" s="1054"/>
      <c r="J113" s="1040"/>
      <c r="K113" s="1040"/>
      <c r="L113" s="1040"/>
      <c r="N113" s="961"/>
      <c r="P113" s="961"/>
    </row>
    <row r="114" spans="1:16" s="959" customFormat="1" x14ac:dyDescent="0.25">
      <c r="A114" s="878"/>
      <c r="B114" s="879"/>
      <c r="C114" s="1009"/>
      <c r="D114" s="1010"/>
      <c r="E114" s="1011"/>
      <c r="F114" s="1011"/>
      <c r="G114" s="1039"/>
      <c r="H114" s="1012"/>
      <c r="I114" s="1054"/>
      <c r="J114" s="1040"/>
      <c r="K114" s="1040"/>
      <c r="L114" s="1040"/>
      <c r="N114" s="961"/>
      <c r="P114" s="961"/>
    </row>
    <row r="115" spans="1:16" s="959" customFormat="1" x14ac:dyDescent="0.25">
      <c r="A115" s="878"/>
      <c r="B115" s="879"/>
      <c r="C115" s="1009"/>
      <c r="D115" s="1010"/>
      <c r="E115" s="1011"/>
      <c r="F115" s="1011"/>
      <c r="G115" s="1039"/>
      <c r="H115" s="1012"/>
      <c r="I115" s="1054"/>
      <c r="J115" s="1040"/>
      <c r="K115" s="1040"/>
      <c r="L115" s="1040"/>
      <c r="N115" s="961"/>
      <c r="P115" s="961"/>
    </row>
    <row r="116" spans="1:16" s="959" customFormat="1" x14ac:dyDescent="0.25">
      <c r="A116" s="878"/>
      <c r="B116" s="879"/>
      <c r="C116" s="1009"/>
      <c r="D116" s="1010"/>
      <c r="E116" s="1011"/>
      <c r="F116" s="1011"/>
      <c r="G116" s="1039"/>
      <c r="H116" s="1012"/>
      <c r="I116" s="1054"/>
      <c r="J116" s="1040"/>
      <c r="K116" s="1040"/>
      <c r="L116" s="1040"/>
      <c r="N116" s="961"/>
      <c r="P116" s="961"/>
    </row>
    <row r="117" spans="1:16" s="959" customFormat="1" x14ac:dyDescent="0.25">
      <c r="A117" s="878"/>
      <c r="B117" s="879"/>
      <c r="C117" s="1009"/>
      <c r="D117" s="1010"/>
      <c r="E117" s="1011"/>
      <c r="F117" s="1011"/>
      <c r="G117" s="1039"/>
      <c r="H117" s="1012"/>
      <c r="I117" s="1054"/>
      <c r="J117" s="1040"/>
      <c r="K117" s="1040"/>
      <c r="L117" s="1040"/>
      <c r="N117" s="961"/>
      <c r="P117" s="961"/>
    </row>
    <row r="118" spans="1:16" s="959" customFormat="1" x14ac:dyDescent="0.25">
      <c r="A118" s="878"/>
      <c r="B118" s="879"/>
      <c r="C118" s="1009"/>
      <c r="D118" s="1010"/>
      <c r="E118" s="1011"/>
      <c r="F118" s="1011"/>
      <c r="G118" s="1039"/>
      <c r="H118" s="1012"/>
      <c r="I118" s="1054"/>
      <c r="J118" s="1040"/>
      <c r="K118" s="1040"/>
      <c r="L118" s="1040"/>
      <c r="N118" s="961"/>
      <c r="P118" s="961"/>
    </row>
    <row r="119" spans="1:16" s="959" customFormat="1" x14ac:dyDescent="0.25">
      <c r="A119" s="878"/>
      <c r="B119" s="879"/>
      <c r="C119" s="1009"/>
      <c r="D119" s="1010"/>
      <c r="E119" s="1011"/>
      <c r="F119" s="1011"/>
      <c r="G119" s="1039"/>
      <c r="H119" s="1012"/>
      <c r="I119" s="1054"/>
      <c r="J119" s="1040"/>
      <c r="K119" s="1040"/>
      <c r="L119" s="1040"/>
      <c r="N119" s="961"/>
      <c r="P119" s="961"/>
    </row>
    <row r="120" spans="1:16" s="959" customFormat="1" x14ac:dyDescent="0.25">
      <c r="A120" s="878"/>
      <c r="B120" s="879"/>
      <c r="C120" s="1009"/>
      <c r="D120" s="1010"/>
      <c r="E120" s="1011"/>
      <c r="F120" s="1011"/>
      <c r="G120" s="1039"/>
      <c r="H120" s="1012"/>
      <c r="I120" s="1054"/>
      <c r="J120" s="1040"/>
      <c r="K120" s="1040"/>
      <c r="L120" s="1040"/>
      <c r="N120" s="961"/>
      <c r="P120" s="961"/>
    </row>
    <row r="121" spans="1:16" s="959" customFormat="1" x14ac:dyDescent="0.25">
      <c r="A121" s="878"/>
      <c r="B121" s="879"/>
      <c r="C121" s="1009"/>
      <c r="D121" s="1010"/>
      <c r="E121" s="1011"/>
      <c r="F121" s="1011"/>
      <c r="G121" s="1039"/>
      <c r="H121" s="1012"/>
      <c r="I121" s="1054"/>
      <c r="J121" s="1040"/>
      <c r="K121" s="1040"/>
      <c r="L121" s="1040"/>
      <c r="N121" s="961"/>
      <c r="P121" s="961"/>
    </row>
    <row r="122" spans="1:16" s="959" customFormat="1" x14ac:dyDescent="0.25">
      <c r="A122" s="878"/>
      <c r="B122" s="879"/>
      <c r="C122" s="1009"/>
      <c r="D122" s="1010"/>
      <c r="E122" s="1011"/>
      <c r="F122" s="1011"/>
      <c r="G122" s="1039"/>
      <c r="H122" s="1012"/>
      <c r="I122" s="1054"/>
      <c r="J122" s="1040"/>
      <c r="K122" s="1040"/>
      <c r="L122" s="1040"/>
      <c r="N122" s="961"/>
      <c r="P122" s="961"/>
    </row>
    <row r="123" spans="1:16" s="959" customFormat="1" x14ac:dyDescent="0.25">
      <c r="A123" s="878"/>
      <c r="B123" s="879"/>
      <c r="C123" s="1009"/>
      <c r="D123" s="1010"/>
      <c r="E123" s="1011"/>
      <c r="F123" s="1011"/>
      <c r="G123" s="1039"/>
      <c r="H123" s="1012"/>
      <c r="I123" s="1054"/>
      <c r="J123" s="1040"/>
      <c r="K123" s="1040"/>
      <c r="L123" s="1040"/>
      <c r="N123" s="961"/>
      <c r="P123" s="961"/>
    </row>
    <row r="124" spans="1:16" s="959" customFormat="1" x14ac:dyDescent="0.25">
      <c r="A124" s="878"/>
      <c r="B124" s="879"/>
      <c r="C124" s="1009"/>
      <c r="D124" s="1010"/>
      <c r="E124" s="1011"/>
      <c r="F124" s="1011"/>
      <c r="G124" s="1039"/>
      <c r="H124" s="1012"/>
      <c r="I124" s="1054"/>
      <c r="J124" s="1040"/>
      <c r="K124" s="1040"/>
      <c r="L124" s="1040"/>
      <c r="N124" s="961"/>
      <c r="P124" s="961"/>
    </row>
    <row r="125" spans="1:16" s="959" customFormat="1" x14ac:dyDescent="0.25">
      <c r="A125" s="878"/>
      <c r="B125" s="879"/>
      <c r="C125" s="1009"/>
      <c r="D125" s="1010"/>
      <c r="E125" s="1011"/>
      <c r="F125" s="1011"/>
      <c r="G125" s="1039"/>
      <c r="H125" s="1012"/>
      <c r="I125" s="1054"/>
      <c r="J125" s="1040"/>
      <c r="K125" s="1040"/>
      <c r="L125" s="1040"/>
      <c r="N125" s="961"/>
      <c r="P125" s="961"/>
    </row>
    <row r="126" spans="1:16" s="959" customFormat="1" x14ac:dyDescent="0.25">
      <c r="A126" s="878"/>
      <c r="B126" s="879"/>
      <c r="C126" s="1009"/>
      <c r="D126" s="1010"/>
      <c r="E126" s="1011"/>
      <c r="F126" s="1011"/>
      <c r="G126" s="1039"/>
      <c r="H126" s="1012"/>
      <c r="I126" s="1054"/>
      <c r="J126" s="1040"/>
      <c r="K126" s="1040"/>
      <c r="L126" s="1040"/>
      <c r="N126" s="961"/>
      <c r="P126" s="961"/>
    </row>
    <row r="127" spans="1:16" s="959" customFormat="1" x14ac:dyDescent="0.25">
      <c r="A127" s="878"/>
      <c r="B127" s="879"/>
      <c r="C127" s="1009"/>
      <c r="D127" s="1010"/>
      <c r="E127" s="1011"/>
      <c r="F127" s="1011"/>
      <c r="G127" s="1039"/>
      <c r="H127" s="1012"/>
      <c r="I127" s="1054"/>
      <c r="J127" s="1040"/>
      <c r="K127" s="1040"/>
      <c r="L127" s="1040"/>
      <c r="N127" s="961"/>
      <c r="P127" s="961"/>
    </row>
    <row r="128" spans="1:16" s="959" customFormat="1" x14ac:dyDescent="0.25">
      <c r="A128" s="878"/>
      <c r="B128" s="879"/>
      <c r="C128" s="1009"/>
      <c r="D128" s="1010"/>
      <c r="E128" s="1011"/>
      <c r="F128" s="1011"/>
      <c r="G128" s="1039"/>
      <c r="H128" s="1012"/>
      <c r="I128" s="1054"/>
      <c r="J128" s="1040"/>
      <c r="K128" s="1040"/>
      <c r="L128" s="1040"/>
      <c r="N128" s="961"/>
      <c r="P128" s="961"/>
    </row>
    <row r="129" spans="1:16" s="959" customFormat="1" x14ac:dyDescent="0.25">
      <c r="A129" s="878"/>
      <c r="B129" s="879"/>
      <c r="C129" s="1009"/>
      <c r="D129" s="1010"/>
      <c r="E129" s="1011"/>
      <c r="F129" s="1011"/>
      <c r="G129" s="1039"/>
      <c r="H129" s="1012"/>
      <c r="I129" s="1054"/>
      <c r="J129" s="1040"/>
      <c r="K129" s="1040"/>
      <c r="L129" s="1040"/>
      <c r="N129" s="961"/>
      <c r="P129" s="961"/>
    </row>
    <row r="130" spans="1:16" s="959" customFormat="1" x14ac:dyDescent="0.25">
      <c r="A130" s="878"/>
      <c r="B130" s="879"/>
      <c r="C130" s="1009"/>
      <c r="D130" s="1010"/>
      <c r="E130" s="1011"/>
      <c r="F130" s="1011"/>
      <c r="G130" s="1039"/>
      <c r="H130" s="1012"/>
      <c r="I130" s="1054"/>
      <c r="J130" s="1040"/>
      <c r="K130" s="1040"/>
      <c r="L130" s="1040"/>
      <c r="N130" s="961"/>
      <c r="P130" s="961"/>
    </row>
    <row r="131" spans="1:16" s="959" customFormat="1" x14ac:dyDescent="0.25">
      <c r="A131" s="878"/>
      <c r="B131" s="879"/>
      <c r="C131" s="1009"/>
      <c r="D131" s="1010"/>
      <c r="E131" s="1011"/>
      <c r="F131" s="1011"/>
      <c r="G131" s="1039"/>
      <c r="H131" s="1012"/>
      <c r="I131" s="1054"/>
      <c r="J131" s="1040"/>
      <c r="K131" s="1040"/>
      <c r="L131" s="1040"/>
      <c r="N131" s="961"/>
      <c r="P131" s="961"/>
    </row>
    <row r="132" spans="1:16" s="959" customFormat="1" x14ac:dyDescent="0.25">
      <c r="A132" s="878"/>
      <c r="B132" s="879"/>
      <c r="C132" s="1009"/>
      <c r="D132" s="1010"/>
      <c r="E132" s="1011"/>
      <c r="F132" s="1011"/>
      <c r="G132" s="1039"/>
      <c r="H132" s="1012"/>
      <c r="I132" s="1054"/>
      <c r="J132" s="1040"/>
      <c r="K132" s="1040"/>
      <c r="L132" s="1040"/>
      <c r="N132" s="961"/>
      <c r="P132" s="961"/>
    </row>
    <row r="133" spans="1:16" s="959" customFormat="1" x14ac:dyDescent="0.25">
      <c r="A133" s="878"/>
      <c r="B133" s="879"/>
      <c r="C133" s="1009"/>
      <c r="D133" s="1010"/>
      <c r="E133" s="1011"/>
      <c r="F133" s="1011"/>
      <c r="G133" s="1039"/>
      <c r="H133" s="1012"/>
      <c r="I133" s="1054"/>
      <c r="J133" s="1040"/>
      <c r="K133" s="1040"/>
      <c r="L133" s="1040"/>
      <c r="N133" s="961"/>
      <c r="P133" s="961"/>
    </row>
    <row r="134" spans="1:16" s="959" customFormat="1" x14ac:dyDescent="0.25">
      <c r="A134" s="878"/>
      <c r="B134" s="879"/>
      <c r="C134" s="1009"/>
      <c r="D134" s="1010"/>
      <c r="E134" s="1011"/>
      <c r="F134" s="1011"/>
      <c r="G134" s="1039"/>
      <c r="H134" s="1012"/>
      <c r="I134" s="1054"/>
      <c r="J134" s="1040"/>
      <c r="K134" s="1040"/>
      <c r="L134" s="1040"/>
      <c r="N134" s="961"/>
      <c r="P134" s="961"/>
    </row>
    <row r="135" spans="1:16" s="959" customFormat="1" x14ac:dyDescent="0.25">
      <c r="A135" s="878"/>
      <c r="B135" s="879"/>
      <c r="C135" s="1009"/>
      <c r="D135" s="1010"/>
      <c r="E135" s="1011"/>
      <c r="F135" s="1011"/>
      <c r="G135" s="1039"/>
      <c r="H135" s="1012"/>
      <c r="I135" s="1054"/>
      <c r="J135" s="1040"/>
      <c r="K135" s="1040"/>
      <c r="L135" s="1040"/>
      <c r="N135" s="961"/>
      <c r="P135" s="961"/>
    </row>
    <row r="136" spans="1:16" s="959" customFormat="1" x14ac:dyDescent="0.25">
      <c r="A136" s="878"/>
      <c r="B136" s="879"/>
      <c r="C136" s="1009"/>
      <c r="D136" s="1010"/>
      <c r="E136" s="1011"/>
      <c r="F136" s="1011"/>
      <c r="G136" s="1039"/>
      <c r="H136" s="1012"/>
      <c r="I136" s="1054"/>
      <c r="J136" s="1040"/>
      <c r="K136" s="1040"/>
      <c r="L136" s="1040"/>
      <c r="N136" s="961"/>
      <c r="P136" s="961"/>
    </row>
    <row r="137" spans="1:16" s="959" customFormat="1" x14ac:dyDescent="0.25">
      <c r="A137" s="878"/>
      <c r="B137" s="879"/>
      <c r="C137" s="1009"/>
      <c r="D137" s="1010"/>
      <c r="E137" s="1011"/>
      <c r="F137" s="1011"/>
      <c r="G137" s="1039"/>
      <c r="H137" s="1012"/>
      <c r="I137" s="1054"/>
      <c r="J137" s="1040"/>
      <c r="K137" s="1040"/>
      <c r="L137" s="1040"/>
      <c r="N137" s="961"/>
      <c r="P137" s="961"/>
    </row>
    <row r="138" spans="1:16" s="959" customFormat="1" x14ac:dyDescent="0.25">
      <c r="A138" s="878"/>
      <c r="B138" s="879"/>
      <c r="C138" s="1009"/>
      <c r="D138" s="1010"/>
      <c r="E138" s="1011"/>
      <c r="F138" s="1011"/>
      <c r="G138" s="1039"/>
      <c r="H138" s="1012"/>
      <c r="I138" s="1054"/>
      <c r="J138" s="1040"/>
      <c r="K138" s="1040"/>
      <c r="L138" s="1040"/>
      <c r="N138" s="961"/>
      <c r="P138" s="961"/>
    </row>
    <row r="139" spans="1:16" s="959" customFormat="1" x14ac:dyDescent="0.25">
      <c r="A139" s="878"/>
      <c r="B139" s="879"/>
      <c r="C139" s="1009"/>
      <c r="D139" s="1010"/>
      <c r="E139" s="1011"/>
      <c r="F139" s="1011"/>
      <c r="G139" s="1039"/>
      <c r="H139" s="1012"/>
      <c r="I139" s="1054"/>
      <c r="J139" s="1040"/>
      <c r="K139" s="1040"/>
      <c r="L139" s="1040"/>
      <c r="N139" s="961"/>
      <c r="P139" s="961"/>
    </row>
    <row r="140" spans="1:16" s="959" customFormat="1" x14ac:dyDescent="0.25">
      <c r="A140" s="878"/>
      <c r="B140" s="879"/>
      <c r="C140" s="1009"/>
      <c r="D140" s="1010"/>
      <c r="E140" s="1011"/>
      <c r="F140" s="1011"/>
      <c r="G140" s="1039"/>
      <c r="H140" s="1012"/>
      <c r="I140" s="1054"/>
      <c r="J140" s="1040"/>
      <c r="K140" s="1040"/>
      <c r="L140" s="1040"/>
      <c r="N140" s="961"/>
      <c r="P140" s="961"/>
    </row>
    <row r="141" spans="1:16" s="959" customFormat="1" x14ac:dyDescent="0.25">
      <c r="A141" s="878"/>
      <c r="B141" s="879"/>
      <c r="C141" s="1009"/>
      <c r="D141" s="1102"/>
      <c r="E141" s="1102"/>
      <c r="F141" s="1102"/>
      <c r="G141" s="1103"/>
      <c r="H141" s="1012"/>
      <c r="I141" s="1054"/>
      <c r="J141" s="1040"/>
      <c r="K141" s="1040"/>
      <c r="L141" s="1040"/>
      <c r="N141" s="961"/>
      <c r="P141" s="961"/>
    </row>
    <row r="142" spans="1:16" s="959" customFormat="1" x14ac:dyDescent="0.25">
      <c r="A142" s="878"/>
      <c r="B142" s="879"/>
      <c r="C142" s="1009"/>
      <c r="D142" s="1102"/>
      <c r="E142" s="1102"/>
      <c r="F142" s="1102"/>
      <c r="G142" s="1103"/>
      <c r="H142" s="1012"/>
      <c r="I142" s="1054"/>
      <c r="J142" s="1040"/>
      <c r="K142" s="1040"/>
      <c r="L142" s="1040"/>
      <c r="N142" s="961"/>
      <c r="P142" s="961"/>
    </row>
    <row r="143" spans="1:16" s="1085" customFormat="1" x14ac:dyDescent="0.25">
      <c r="A143" s="1078"/>
      <c r="B143" s="1082"/>
      <c r="C143" s="1079"/>
      <c r="D143" s="1101"/>
      <c r="E143" s="1101"/>
      <c r="F143" s="1104"/>
      <c r="G143" s="1084"/>
    </row>
    <row r="144" spans="1:16" s="1085" customFormat="1" ht="23.25" x14ac:dyDescent="0.35">
      <c r="A144" s="1110"/>
      <c r="B144" s="1111"/>
      <c r="C144" s="1112"/>
      <c r="D144" s="1111"/>
      <c r="E144" s="1111"/>
      <c r="F144" s="1113"/>
      <c r="G144" s="1114"/>
      <c r="H144" s="1115"/>
    </row>
    <row r="145" spans="1:16" s="1085" customFormat="1" ht="78.75" customHeight="1" x14ac:dyDescent="0.25">
      <c r="A145" s="1247" t="s">
        <v>1058</v>
      </c>
      <c r="B145" s="1247"/>
      <c r="C145" s="1247"/>
      <c r="D145" s="1111"/>
      <c r="E145" s="1111"/>
      <c r="F145" s="1111"/>
      <c r="G145" s="1111"/>
      <c r="H145" s="1111" t="s">
        <v>1059</v>
      </c>
      <c r="I145" s="1100"/>
      <c r="J145" s="1106"/>
    </row>
    <row r="146" spans="1:16" s="1085" customFormat="1" ht="46.5" customHeight="1" x14ac:dyDescent="0.25">
      <c r="A146" s="1110"/>
      <c r="B146" s="1116"/>
      <c r="C146" s="1112"/>
      <c r="D146" s="1111"/>
      <c r="E146" s="1111"/>
      <c r="F146" s="1113"/>
      <c r="G146" s="1114"/>
      <c r="H146" s="1111"/>
      <c r="I146" s="1100"/>
      <c r="J146" s="1106"/>
    </row>
    <row r="147" spans="1:16" s="1085" customFormat="1" ht="63" customHeight="1" x14ac:dyDescent="0.25">
      <c r="A147" s="1247" t="s">
        <v>1060</v>
      </c>
      <c r="B147" s="1247"/>
      <c r="C147" s="1247"/>
      <c r="D147" s="1111"/>
      <c r="E147" s="1111"/>
      <c r="F147" s="1111"/>
      <c r="G147" s="1111"/>
      <c r="H147" s="1111" t="s">
        <v>1061</v>
      </c>
      <c r="I147" s="1100"/>
      <c r="J147" s="1106"/>
    </row>
    <row r="148" spans="1:16" s="1085" customFormat="1" ht="39.75" customHeight="1" x14ac:dyDescent="0.25">
      <c r="A148" s="1110"/>
      <c r="B148" s="1111"/>
      <c r="C148" s="1112"/>
      <c r="D148" s="1111"/>
      <c r="E148" s="1111"/>
      <c r="F148" s="1113"/>
      <c r="G148" s="1114"/>
      <c r="H148" s="1111"/>
      <c r="I148" s="1100"/>
      <c r="J148" s="1106"/>
    </row>
    <row r="149" spans="1:16" s="1085" customFormat="1" ht="78.75" customHeight="1" x14ac:dyDescent="0.25">
      <c r="A149" s="1247" t="s">
        <v>1062</v>
      </c>
      <c r="B149" s="1247"/>
      <c r="C149" s="1247"/>
      <c r="D149" s="1111"/>
      <c r="E149" s="1111"/>
      <c r="F149" s="1111"/>
      <c r="G149" s="1111"/>
      <c r="H149" s="1111" t="s">
        <v>1063</v>
      </c>
      <c r="I149" s="1100"/>
      <c r="J149" s="1106"/>
    </row>
    <row r="150" spans="1:16" s="1085" customFormat="1" ht="39.75" customHeight="1" x14ac:dyDescent="0.25">
      <c r="A150" s="1110"/>
      <c r="B150" s="1116"/>
      <c r="C150" s="1112"/>
      <c r="D150" s="1111"/>
      <c r="E150" s="1111"/>
      <c r="F150" s="1113"/>
      <c r="G150" s="1114"/>
      <c r="H150" s="1111"/>
      <c r="I150" s="1100"/>
      <c r="J150" s="1106"/>
    </row>
    <row r="151" spans="1:16" s="1085" customFormat="1" ht="47.25" customHeight="1" x14ac:dyDescent="0.25">
      <c r="A151" s="1247" t="s">
        <v>1064</v>
      </c>
      <c r="B151" s="1247"/>
      <c r="C151" s="1247"/>
      <c r="D151" s="1111"/>
      <c r="E151" s="1111"/>
      <c r="F151" s="1111"/>
      <c r="G151" s="1111"/>
      <c r="H151" s="1111" t="s">
        <v>1065</v>
      </c>
      <c r="I151" s="1100"/>
      <c r="J151" s="1106"/>
    </row>
    <row r="152" spans="1:16" s="1085" customFormat="1" ht="39.75" customHeight="1" x14ac:dyDescent="0.25">
      <c r="A152" s="1110"/>
      <c r="B152" s="1111"/>
      <c r="C152" s="1112"/>
      <c r="D152" s="1111"/>
      <c r="E152" s="1117"/>
      <c r="F152" s="1113"/>
      <c r="G152" s="1114"/>
      <c r="H152" s="1111"/>
      <c r="I152" s="1105"/>
      <c r="J152" s="1106"/>
    </row>
    <row r="153" spans="1:16" s="1085" customFormat="1" ht="63" customHeight="1" x14ac:dyDescent="0.25">
      <c r="A153" s="1247" t="s">
        <v>1066</v>
      </c>
      <c r="B153" s="1247"/>
      <c r="C153" s="1247"/>
      <c r="D153" s="1111"/>
      <c r="E153" s="1111"/>
      <c r="F153" s="1111"/>
      <c r="G153" s="1111"/>
      <c r="H153" s="1111" t="s">
        <v>1067</v>
      </c>
      <c r="I153" s="1100"/>
      <c r="J153" s="1106"/>
    </row>
    <row r="154" spans="1:16" s="1085" customFormat="1" ht="18.75" x14ac:dyDescent="0.3">
      <c r="A154" s="1088"/>
      <c r="B154" s="1089"/>
      <c r="C154" s="1090"/>
      <c r="D154" s="1091"/>
      <c r="E154" s="1091"/>
      <c r="F154" s="1092"/>
      <c r="G154" s="1086"/>
      <c r="H154" s="1087"/>
    </row>
    <row r="155" spans="1:16" s="959" customFormat="1" ht="18" x14ac:dyDescent="0.25">
      <c r="A155" s="1093"/>
      <c r="B155" s="1094"/>
      <c r="C155" s="1095"/>
      <c r="D155" s="1096"/>
      <c r="E155" s="1097"/>
      <c r="F155" s="1097"/>
      <c r="G155" s="1098"/>
      <c r="H155" s="1099"/>
      <c r="I155" s="1054"/>
      <c r="J155" s="1040"/>
      <c r="K155" s="1040"/>
      <c r="L155" s="1040"/>
      <c r="N155" s="961"/>
      <c r="P155" s="961"/>
    </row>
    <row r="156" spans="1:16" s="959" customFormat="1" ht="18" x14ac:dyDescent="0.25">
      <c r="A156" s="1093"/>
      <c r="B156" s="1094"/>
      <c r="C156" s="1095"/>
      <c r="D156" s="1096"/>
      <c r="E156" s="1097"/>
      <c r="F156" s="1097"/>
      <c r="G156" s="1098"/>
      <c r="H156" s="1099"/>
      <c r="I156" s="1054"/>
      <c r="J156" s="1040"/>
      <c r="K156" s="1040"/>
      <c r="L156" s="1040"/>
      <c r="N156" s="961"/>
      <c r="P156" s="961"/>
    </row>
    <row r="157" spans="1:16" s="959" customFormat="1" ht="18" x14ac:dyDescent="0.25">
      <c r="A157" s="1093"/>
      <c r="B157" s="1094"/>
      <c r="C157" s="1095"/>
      <c r="D157" s="1096"/>
      <c r="E157" s="1097"/>
      <c r="F157" s="1097"/>
      <c r="G157" s="1098"/>
      <c r="H157" s="1099"/>
      <c r="I157" s="1054"/>
      <c r="J157" s="1040"/>
      <c r="K157" s="1040"/>
      <c r="L157" s="1040"/>
      <c r="N157" s="961"/>
      <c r="P157" s="961"/>
    </row>
    <row r="158" spans="1:16" s="959" customFormat="1" x14ac:dyDescent="0.25">
      <c r="A158" s="878"/>
      <c r="B158" s="879"/>
      <c r="C158" s="1009"/>
      <c r="D158" s="1010"/>
      <c r="E158" s="1011"/>
      <c r="F158" s="1011"/>
      <c r="G158" s="1039"/>
      <c r="H158" s="1012"/>
      <c r="I158" s="1054"/>
      <c r="J158" s="1040"/>
      <c r="K158" s="1040"/>
      <c r="L158" s="1040"/>
      <c r="N158" s="961"/>
      <c r="P158" s="961"/>
    </row>
    <row r="159" spans="1:16" s="959" customFormat="1" x14ac:dyDescent="0.25">
      <c r="A159" s="878"/>
      <c r="B159" s="879"/>
      <c r="C159" s="1009"/>
      <c r="D159" s="1010"/>
      <c r="E159" s="1011"/>
      <c r="F159" s="1011"/>
      <c r="G159" s="1039"/>
      <c r="H159" s="1012"/>
      <c r="I159" s="1054"/>
      <c r="J159" s="1040"/>
      <c r="K159" s="1040"/>
      <c r="L159" s="1040"/>
      <c r="N159" s="961"/>
      <c r="P159" s="961"/>
    </row>
    <row r="160" spans="1:16" s="959" customFormat="1" x14ac:dyDescent="0.25">
      <c r="A160" s="878"/>
      <c r="B160" s="879"/>
      <c r="C160" s="1009"/>
      <c r="D160" s="1010"/>
      <c r="E160" s="1011"/>
      <c r="F160" s="1011"/>
      <c r="G160" s="1039"/>
      <c r="H160" s="1012"/>
      <c r="I160" s="1054"/>
      <c r="J160" s="1040"/>
      <c r="K160" s="1040"/>
      <c r="L160" s="1040"/>
      <c r="N160" s="961"/>
      <c r="P160" s="961"/>
    </row>
    <row r="161" spans="1:16" s="959" customFormat="1" x14ac:dyDescent="0.25">
      <c r="A161" s="878"/>
      <c r="B161" s="879"/>
      <c r="C161" s="1009"/>
      <c r="D161" s="1010"/>
      <c r="E161" s="1011"/>
      <c r="F161" s="1011"/>
      <c r="G161" s="1039"/>
      <c r="H161" s="1012"/>
      <c r="I161" s="1054"/>
      <c r="J161" s="1040"/>
      <c r="K161" s="1040"/>
      <c r="L161" s="1040"/>
      <c r="N161" s="961"/>
      <c r="P161" s="961"/>
    </row>
    <row r="162" spans="1:16" s="959" customFormat="1" x14ac:dyDescent="0.25">
      <c r="A162" s="878"/>
      <c r="B162" s="879"/>
      <c r="C162" s="1009"/>
      <c r="D162" s="1010"/>
      <c r="E162" s="1011"/>
      <c r="F162" s="1011"/>
      <c r="G162" s="1039"/>
      <c r="H162" s="1012"/>
      <c r="I162" s="1054"/>
      <c r="J162" s="1040"/>
      <c r="K162" s="1040"/>
      <c r="L162" s="1040"/>
      <c r="N162" s="961"/>
      <c r="P162" s="961"/>
    </row>
    <row r="163" spans="1:16" s="959" customFormat="1" x14ac:dyDescent="0.25">
      <c r="A163" s="878"/>
      <c r="B163" s="879"/>
      <c r="C163" s="1009"/>
      <c r="D163" s="1010"/>
      <c r="E163" s="1011"/>
      <c r="F163" s="1011"/>
      <c r="G163" s="1039"/>
      <c r="H163" s="1012"/>
      <c r="I163" s="1054"/>
      <c r="J163" s="1040"/>
      <c r="K163" s="1040"/>
      <c r="L163" s="1040"/>
      <c r="N163" s="961"/>
      <c r="P163" s="961"/>
    </row>
    <row r="164" spans="1:16" s="959" customFormat="1" x14ac:dyDescent="0.25">
      <c r="A164" s="878"/>
      <c r="B164" s="879"/>
      <c r="C164" s="1009"/>
      <c r="D164" s="1010"/>
      <c r="E164" s="1011"/>
      <c r="F164" s="1011"/>
      <c r="G164" s="1039"/>
      <c r="H164" s="1012"/>
      <c r="I164" s="1054"/>
      <c r="J164" s="1040"/>
      <c r="K164" s="1040"/>
      <c r="L164" s="1040"/>
      <c r="N164" s="961"/>
      <c r="P164" s="961"/>
    </row>
    <row r="165" spans="1:16" s="959" customFormat="1" x14ac:dyDescent="0.25">
      <c r="A165" s="878"/>
      <c r="B165" s="879"/>
      <c r="C165" s="1009"/>
      <c r="D165" s="1010"/>
      <c r="E165" s="1011"/>
      <c r="F165" s="1011"/>
      <c r="G165" s="1039"/>
      <c r="H165" s="1012"/>
      <c r="I165" s="1054"/>
      <c r="J165" s="1040"/>
      <c r="K165" s="1040"/>
      <c r="L165" s="1040"/>
      <c r="N165" s="961"/>
      <c r="P165" s="961"/>
    </row>
    <row r="166" spans="1:16" s="959" customFormat="1" x14ac:dyDescent="0.25">
      <c r="A166" s="878"/>
      <c r="B166" s="879"/>
      <c r="C166" s="1009"/>
      <c r="D166" s="1010"/>
      <c r="E166" s="1011"/>
      <c r="F166" s="1011"/>
      <c r="G166" s="1039"/>
      <c r="H166" s="1012"/>
      <c r="I166" s="1054"/>
      <c r="J166" s="1040"/>
      <c r="K166" s="1040"/>
      <c r="L166" s="1040"/>
      <c r="N166" s="961"/>
      <c r="P166" s="961"/>
    </row>
    <row r="167" spans="1:16" s="959" customFormat="1" x14ac:dyDescent="0.25">
      <c r="A167" s="878"/>
      <c r="B167" s="879"/>
      <c r="C167" s="1009"/>
      <c r="D167" s="1010"/>
      <c r="E167" s="1011"/>
      <c r="F167" s="1011"/>
      <c r="G167" s="1039"/>
      <c r="H167" s="1012"/>
      <c r="I167" s="1054"/>
      <c r="J167" s="1040"/>
      <c r="K167" s="1040"/>
      <c r="L167" s="1040"/>
      <c r="N167" s="961"/>
      <c r="P167" s="961"/>
    </row>
    <row r="168" spans="1:16" s="959" customFormat="1" x14ac:dyDescent="0.25">
      <c r="A168" s="878"/>
      <c r="B168" s="879"/>
      <c r="C168" s="1009"/>
      <c r="D168" s="1010"/>
      <c r="E168" s="1011"/>
      <c r="F168" s="1011"/>
      <c r="G168" s="1039"/>
      <c r="H168" s="1012"/>
      <c r="I168" s="1054"/>
      <c r="J168" s="1040"/>
      <c r="K168" s="1040"/>
      <c r="L168" s="1040"/>
      <c r="N168" s="961"/>
      <c r="P168" s="961"/>
    </row>
    <row r="169" spans="1:16" s="959" customFormat="1" x14ac:dyDescent="0.25">
      <c r="A169" s="878"/>
      <c r="B169" s="879"/>
      <c r="C169" s="1009"/>
      <c r="D169" s="1010"/>
      <c r="E169" s="1011"/>
      <c r="F169" s="1011"/>
      <c r="G169" s="1039"/>
      <c r="H169" s="1012"/>
      <c r="I169" s="1054"/>
      <c r="J169" s="1040"/>
      <c r="K169" s="1040"/>
      <c r="L169" s="1040"/>
      <c r="N169" s="961"/>
      <c r="P169" s="961"/>
    </row>
    <row r="170" spans="1:16" s="959" customFormat="1" x14ac:dyDescent="0.25">
      <c r="A170" s="878"/>
      <c r="B170" s="879"/>
      <c r="C170" s="1009"/>
      <c r="D170" s="1010"/>
      <c r="E170" s="1011"/>
      <c r="F170" s="1011"/>
      <c r="G170" s="1039"/>
      <c r="H170" s="1012"/>
      <c r="I170" s="1054"/>
      <c r="J170" s="1040"/>
      <c r="K170" s="1040"/>
      <c r="L170" s="1040"/>
      <c r="N170" s="961"/>
      <c r="P170" s="961"/>
    </row>
    <row r="171" spans="1:16" s="959" customFormat="1" x14ac:dyDescent="0.25">
      <c r="A171" s="878"/>
      <c r="B171" s="879"/>
      <c r="C171" s="1009"/>
      <c r="D171" s="1010"/>
      <c r="E171" s="1011"/>
      <c r="F171" s="1011"/>
      <c r="G171" s="1039"/>
      <c r="H171" s="1012"/>
      <c r="I171" s="1054"/>
      <c r="J171" s="1040"/>
      <c r="K171" s="1040"/>
      <c r="L171" s="1040"/>
      <c r="N171" s="961"/>
      <c r="P171" s="961"/>
    </row>
    <row r="172" spans="1:16" s="959" customFormat="1" x14ac:dyDescent="0.25">
      <c r="A172" s="878"/>
      <c r="B172" s="879"/>
      <c r="C172" s="1009"/>
      <c r="D172" s="1010"/>
      <c r="E172" s="1011"/>
      <c r="F172" s="1011"/>
      <c r="G172" s="1039"/>
      <c r="H172" s="1012"/>
      <c r="I172" s="1054"/>
      <c r="J172" s="1040"/>
      <c r="K172" s="1040"/>
      <c r="L172" s="1040"/>
      <c r="N172" s="961"/>
      <c r="P172" s="961"/>
    </row>
    <row r="173" spans="1:16" s="959" customFormat="1" x14ac:dyDescent="0.25">
      <c r="A173" s="878"/>
      <c r="B173" s="879"/>
      <c r="C173" s="1009"/>
      <c r="D173" s="1010"/>
      <c r="E173" s="1011"/>
      <c r="F173" s="1011"/>
      <c r="G173" s="1039"/>
      <c r="H173" s="1012"/>
      <c r="I173" s="1054"/>
      <c r="J173" s="1040"/>
      <c r="K173" s="1040"/>
      <c r="L173" s="1040"/>
      <c r="N173" s="961"/>
      <c r="P173" s="961"/>
    </row>
    <row r="174" spans="1:16" s="959" customFormat="1" x14ac:dyDescent="0.25">
      <c r="A174" s="878"/>
      <c r="B174" s="879"/>
      <c r="C174" s="1009"/>
      <c r="D174" s="1010"/>
      <c r="E174" s="1011"/>
      <c r="F174" s="1011"/>
      <c r="G174" s="1039"/>
      <c r="H174" s="1012"/>
      <c r="I174" s="1054"/>
      <c r="J174" s="1040"/>
      <c r="K174" s="1040"/>
      <c r="L174" s="1040"/>
      <c r="N174" s="961"/>
      <c r="P174" s="961"/>
    </row>
    <row r="175" spans="1:16" s="959" customFormat="1" x14ac:dyDescent="0.25">
      <c r="A175" s="878"/>
      <c r="B175" s="879"/>
      <c r="C175" s="1009"/>
      <c r="D175" s="1010"/>
      <c r="E175" s="1011"/>
      <c r="F175" s="1011"/>
      <c r="G175" s="1039"/>
      <c r="H175" s="1012"/>
      <c r="I175" s="1054"/>
      <c r="J175" s="1040"/>
      <c r="K175" s="1040"/>
      <c r="L175" s="1040"/>
      <c r="N175" s="961"/>
      <c r="P175" s="961"/>
    </row>
    <row r="176" spans="1:16" s="959" customFormat="1" x14ac:dyDescent="0.25">
      <c r="A176" s="878"/>
      <c r="B176" s="879"/>
      <c r="C176" s="1009"/>
      <c r="D176" s="1010"/>
      <c r="E176" s="1011"/>
      <c r="F176" s="1011"/>
      <c r="G176" s="1039"/>
      <c r="H176" s="1012"/>
      <c r="I176" s="1054"/>
      <c r="J176" s="1040"/>
      <c r="K176" s="1040"/>
      <c r="L176" s="1040"/>
      <c r="N176" s="961"/>
      <c r="P176" s="961"/>
    </row>
    <row r="177" spans="1:16" s="959" customFormat="1" x14ac:dyDescent="0.25">
      <c r="A177" s="878"/>
      <c r="B177" s="879"/>
      <c r="C177" s="1009"/>
      <c r="D177" s="1010"/>
      <c r="E177" s="1011"/>
      <c r="F177" s="1011"/>
      <c r="G177" s="1039"/>
      <c r="H177" s="1012"/>
      <c r="I177" s="1054"/>
      <c r="J177" s="1040"/>
      <c r="K177" s="1040"/>
      <c r="L177" s="1040"/>
      <c r="N177" s="961"/>
      <c r="P177" s="961"/>
    </row>
    <row r="178" spans="1:16" s="959" customFormat="1" x14ac:dyDescent="0.25">
      <c r="A178" s="878"/>
      <c r="B178" s="879"/>
      <c r="C178" s="1009"/>
      <c r="D178" s="1010"/>
      <c r="E178" s="1011"/>
      <c r="F178" s="1011"/>
      <c r="G178" s="1039"/>
      <c r="H178" s="1012"/>
      <c r="I178" s="1054"/>
      <c r="J178" s="1040"/>
      <c r="K178" s="1040"/>
      <c r="L178" s="1040"/>
      <c r="N178" s="961"/>
      <c r="P178" s="961"/>
    </row>
    <row r="179" spans="1:16" s="959" customFormat="1" x14ac:dyDescent="0.25">
      <c r="A179" s="878"/>
      <c r="B179" s="879"/>
      <c r="C179" s="1009"/>
      <c r="D179" s="1010"/>
      <c r="E179" s="1011"/>
      <c r="F179" s="1011"/>
      <c r="G179" s="1039"/>
      <c r="H179" s="1012"/>
      <c r="I179" s="1054"/>
      <c r="J179" s="1040"/>
      <c r="K179" s="1040"/>
      <c r="L179" s="1040"/>
      <c r="N179" s="961"/>
      <c r="P179" s="961"/>
    </row>
    <row r="180" spans="1:16" s="959" customFormat="1" x14ac:dyDescent="0.25">
      <c r="A180" s="878"/>
      <c r="B180" s="879"/>
      <c r="C180" s="1009"/>
      <c r="D180" s="1010"/>
      <c r="E180" s="1011"/>
      <c r="F180" s="1011"/>
      <c r="G180" s="1039"/>
      <c r="H180" s="1012"/>
      <c r="I180" s="1054"/>
      <c r="J180" s="1040"/>
      <c r="K180" s="1040"/>
      <c r="L180" s="1040"/>
      <c r="N180" s="961"/>
      <c r="P180" s="961"/>
    </row>
    <row r="181" spans="1:16" s="959" customFormat="1" x14ac:dyDescent="0.25">
      <c r="A181" s="878"/>
      <c r="B181" s="879"/>
      <c r="C181" s="1009"/>
      <c r="D181" s="1010"/>
      <c r="E181" s="1011"/>
      <c r="F181" s="1011"/>
      <c r="G181" s="1039"/>
      <c r="H181" s="1012"/>
      <c r="I181" s="1054"/>
      <c r="J181" s="1040"/>
      <c r="K181" s="1040"/>
      <c r="L181" s="1040"/>
      <c r="N181" s="961"/>
      <c r="P181" s="961"/>
    </row>
    <row r="182" spans="1:16" s="959" customFormat="1" x14ac:dyDescent="0.25">
      <c r="A182" s="878"/>
      <c r="B182" s="879"/>
      <c r="C182" s="1009"/>
      <c r="D182" s="1010"/>
      <c r="E182" s="1011"/>
      <c r="F182" s="1011"/>
      <c r="G182" s="1039"/>
      <c r="H182" s="1012"/>
      <c r="I182" s="1054"/>
      <c r="J182" s="1040"/>
      <c r="K182" s="1040"/>
      <c r="L182" s="1040"/>
      <c r="N182" s="961"/>
      <c r="P182" s="961"/>
    </row>
    <row r="183" spans="1:16" s="959" customFormat="1" x14ac:dyDescent="0.25">
      <c r="A183" s="878"/>
      <c r="B183" s="879"/>
      <c r="C183" s="1009"/>
      <c r="D183" s="1010"/>
      <c r="E183" s="1011"/>
      <c r="F183" s="1011"/>
      <c r="G183" s="1039"/>
      <c r="H183" s="1012"/>
      <c r="I183" s="1054"/>
      <c r="J183" s="1040"/>
      <c r="K183" s="1040"/>
      <c r="L183" s="1040"/>
      <c r="N183" s="961"/>
      <c r="P183" s="961"/>
    </row>
    <row r="184" spans="1:16" s="959" customFormat="1" x14ac:dyDescent="0.25">
      <c r="A184" s="878"/>
      <c r="B184" s="879"/>
      <c r="C184" s="1009"/>
      <c r="D184" s="1010"/>
      <c r="E184" s="1011"/>
      <c r="F184" s="1011"/>
      <c r="G184" s="1039"/>
      <c r="H184" s="1012"/>
      <c r="I184" s="1054"/>
      <c r="J184" s="1040"/>
      <c r="K184" s="1040"/>
      <c r="L184" s="1040"/>
      <c r="N184" s="961"/>
      <c r="P184" s="961"/>
    </row>
    <row r="185" spans="1:16" s="959" customFormat="1" x14ac:dyDescent="0.25">
      <c r="A185" s="878"/>
      <c r="B185" s="879"/>
      <c r="C185" s="1009"/>
      <c r="D185" s="1010"/>
      <c r="E185" s="1011"/>
      <c r="F185" s="1011"/>
      <c r="G185" s="1039"/>
      <c r="H185" s="1012"/>
      <c r="I185" s="1054"/>
      <c r="J185" s="1040"/>
      <c r="K185" s="1040"/>
      <c r="L185" s="1040"/>
      <c r="N185" s="961"/>
      <c r="P185" s="961"/>
    </row>
    <row r="186" spans="1:16" s="959" customFormat="1" x14ac:dyDescent="0.25">
      <c r="A186" s="878"/>
      <c r="B186" s="879"/>
      <c r="C186" s="1009"/>
      <c r="D186" s="1010"/>
      <c r="E186" s="1011"/>
      <c r="F186" s="1011"/>
      <c r="G186" s="1039"/>
      <c r="H186" s="1012"/>
      <c r="I186" s="1054"/>
      <c r="J186" s="1040"/>
      <c r="K186" s="1040"/>
      <c r="L186" s="1040"/>
      <c r="N186" s="961"/>
      <c r="P186" s="961"/>
    </row>
    <row r="187" spans="1:16" s="959" customFormat="1" x14ac:dyDescent="0.25">
      <c r="A187" s="878"/>
      <c r="B187" s="879"/>
      <c r="C187" s="1009"/>
      <c r="D187" s="1010"/>
      <c r="E187" s="1011"/>
      <c r="F187" s="1011"/>
      <c r="G187" s="1039"/>
      <c r="H187" s="1012"/>
      <c r="I187" s="1054"/>
      <c r="J187" s="1040"/>
      <c r="K187" s="1040"/>
      <c r="L187" s="1040"/>
      <c r="N187" s="961"/>
      <c r="P187" s="961"/>
    </row>
    <row r="188" spans="1:16" s="959" customFormat="1" x14ac:dyDescent="0.25">
      <c r="A188" s="878"/>
      <c r="B188" s="879"/>
      <c r="C188" s="1009"/>
      <c r="D188" s="1010"/>
      <c r="E188" s="1011"/>
      <c r="F188" s="1011"/>
      <c r="G188" s="1039"/>
      <c r="H188" s="1012"/>
      <c r="I188" s="1054"/>
      <c r="J188" s="1040"/>
      <c r="K188" s="1040"/>
      <c r="L188" s="1040"/>
      <c r="N188" s="961"/>
      <c r="P188" s="961"/>
    </row>
    <row r="189" spans="1:16" s="959" customFormat="1" x14ac:dyDescent="0.25">
      <c r="A189" s="878"/>
      <c r="B189" s="879"/>
      <c r="C189" s="1009"/>
      <c r="D189" s="1010"/>
      <c r="E189" s="1011"/>
      <c r="F189" s="1011"/>
      <c r="G189" s="1039"/>
      <c r="H189" s="1012"/>
      <c r="I189" s="1054"/>
      <c r="J189" s="1040"/>
      <c r="K189" s="1040"/>
      <c r="L189" s="1040"/>
      <c r="N189" s="961"/>
      <c r="P189" s="961"/>
    </row>
    <row r="190" spans="1:16" s="959" customFormat="1" x14ac:dyDescent="0.25">
      <c r="A190" s="878"/>
      <c r="B190" s="879"/>
      <c r="C190" s="1009"/>
      <c r="D190" s="1010"/>
      <c r="E190" s="1011"/>
      <c r="F190" s="1011"/>
      <c r="G190" s="1039"/>
      <c r="H190" s="1012"/>
      <c r="I190" s="1054"/>
      <c r="J190" s="1040"/>
      <c r="K190" s="1040"/>
      <c r="L190" s="1040"/>
      <c r="N190" s="961"/>
      <c r="P190" s="961"/>
    </row>
    <row r="191" spans="1:16" s="959" customFormat="1" x14ac:dyDescent="0.25">
      <c r="A191" s="878"/>
      <c r="B191" s="879"/>
      <c r="C191" s="1009"/>
      <c r="D191" s="1010"/>
      <c r="E191" s="1011"/>
      <c r="F191" s="1011"/>
      <c r="G191" s="1039"/>
      <c r="H191" s="1012"/>
      <c r="I191" s="1054"/>
      <c r="J191" s="1040"/>
      <c r="K191" s="1040"/>
      <c r="L191" s="1040"/>
      <c r="N191" s="961"/>
      <c r="P191" s="961"/>
    </row>
    <row r="192" spans="1:16" s="959" customFormat="1" x14ac:dyDescent="0.25">
      <c r="A192" s="878"/>
      <c r="B192" s="879"/>
      <c r="C192" s="1009"/>
      <c r="D192" s="1010"/>
      <c r="E192" s="1011"/>
      <c r="F192" s="1011"/>
      <c r="G192" s="1039"/>
      <c r="H192" s="1012"/>
      <c r="I192" s="1054"/>
      <c r="J192" s="1040"/>
      <c r="K192" s="1040"/>
      <c r="L192" s="1040"/>
      <c r="N192" s="961"/>
      <c r="P192" s="961"/>
    </row>
    <row r="193" spans="1:16" s="959" customFormat="1" x14ac:dyDescent="0.25">
      <c r="A193" s="878"/>
      <c r="B193" s="879"/>
      <c r="C193" s="1009"/>
      <c r="D193" s="1010"/>
      <c r="E193" s="1011"/>
      <c r="F193" s="1011"/>
      <c r="G193" s="1039"/>
      <c r="H193" s="1012"/>
      <c r="I193" s="1054"/>
      <c r="J193" s="1040"/>
      <c r="K193" s="1040"/>
      <c r="L193" s="1040"/>
      <c r="N193" s="961"/>
      <c r="P193" s="961"/>
    </row>
    <row r="194" spans="1:16" s="959" customFormat="1" x14ac:dyDescent="0.25">
      <c r="A194" s="878"/>
      <c r="B194" s="879"/>
      <c r="C194" s="1009"/>
      <c r="D194" s="1010"/>
      <c r="E194" s="1011"/>
      <c r="F194" s="1011"/>
      <c r="G194" s="1039"/>
      <c r="H194" s="1012"/>
      <c r="I194" s="1054"/>
      <c r="J194" s="1040"/>
      <c r="K194" s="1040"/>
      <c r="L194" s="1040"/>
      <c r="N194" s="961"/>
      <c r="P194" s="961"/>
    </row>
    <row r="195" spans="1:16" s="959" customFormat="1" x14ac:dyDescent="0.25">
      <c r="A195" s="878"/>
      <c r="B195" s="879"/>
      <c r="C195" s="1009"/>
      <c r="D195" s="1010"/>
      <c r="E195" s="1011"/>
      <c r="F195" s="1011"/>
      <c r="G195" s="1039"/>
      <c r="H195" s="1012"/>
      <c r="I195" s="1054"/>
      <c r="J195" s="1040"/>
      <c r="K195" s="1040"/>
      <c r="L195" s="1040"/>
      <c r="N195" s="961"/>
      <c r="P195" s="961"/>
    </row>
    <row r="196" spans="1:16" s="959" customFormat="1" x14ac:dyDescent="0.25">
      <c r="A196" s="878"/>
      <c r="B196" s="879"/>
      <c r="C196" s="1009"/>
      <c r="D196" s="1010"/>
      <c r="E196" s="1011"/>
      <c r="F196" s="1011"/>
      <c r="G196" s="1039"/>
      <c r="H196" s="1012"/>
      <c r="I196" s="1054"/>
      <c r="J196" s="1040"/>
      <c r="K196" s="1040"/>
      <c r="L196" s="1040"/>
      <c r="N196" s="961"/>
      <c r="P196" s="961"/>
    </row>
    <row r="197" spans="1:16" s="959" customFormat="1" x14ac:dyDescent="0.25">
      <c r="A197" s="878"/>
      <c r="B197" s="879"/>
      <c r="C197" s="1009"/>
      <c r="D197" s="1010"/>
      <c r="E197" s="1011"/>
      <c r="F197" s="1011"/>
      <c r="G197" s="1039"/>
      <c r="H197" s="1012"/>
      <c r="I197" s="1054"/>
      <c r="J197" s="1040"/>
      <c r="K197" s="1040"/>
      <c r="L197" s="1040"/>
      <c r="N197" s="961"/>
      <c r="P197" s="961"/>
    </row>
    <row r="198" spans="1:16" s="959" customFormat="1" x14ac:dyDescent="0.25">
      <c r="A198" s="878"/>
      <c r="B198" s="879"/>
      <c r="C198" s="1009"/>
      <c r="D198" s="1010"/>
      <c r="E198" s="1011"/>
      <c r="F198" s="1011"/>
      <c r="G198" s="1039"/>
      <c r="H198" s="1012"/>
      <c r="I198" s="1054"/>
      <c r="J198" s="1040"/>
      <c r="K198" s="1040"/>
      <c r="L198" s="1040"/>
      <c r="N198" s="961"/>
      <c r="P198" s="961"/>
    </row>
    <row r="199" spans="1:16" s="959" customFormat="1" x14ac:dyDescent="0.25">
      <c r="A199" s="878"/>
      <c r="B199" s="879"/>
      <c r="C199" s="1009"/>
      <c r="D199" s="1010"/>
      <c r="E199" s="1011"/>
      <c r="F199" s="1011"/>
      <c r="G199" s="1039"/>
      <c r="H199" s="1012"/>
      <c r="I199" s="1054"/>
      <c r="J199" s="1040"/>
      <c r="K199" s="1040"/>
      <c r="L199" s="1040"/>
      <c r="N199" s="961"/>
      <c r="P199" s="961"/>
    </row>
    <row r="200" spans="1:16" s="959" customFormat="1" x14ac:dyDescent="0.25">
      <c r="A200" s="878"/>
      <c r="B200" s="879"/>
      <c r="C200" s="1009"/>
      <c r="D200" s="1010"/>
      <c r="E200" s="1011"/>
      <c r="F200" s="1011"/>
      <c r="G200" s="1039"/>
      <c r="H200" s="1012"/>
      <c r="I200" s="1054"/>
      <c r="J200" s="1040"/>
      <c r="K200" s="1040"/>
      <c r="L200" s="1040"/>
      <c r="N200" s="961"/>
      <c r="P200" s="961"/>
    </row>
    <row r="201" spans="1:16" s="959" customFormat="1" x14ac:dyDescent="0.25">
      <c r="A201" s="878"/>
      <c r="B201" s="879"/>
      <c r="C201" s="1009"/>
      <c r="D201" s="1010"/>
      <c r="E201" s="1011"/>
      <c r="F201" s="1011"/>
      <c r="G201" s="1039"/>
      <c r="H201" s="1012"/>
      <c r="I201" s="1054"/>
      <c r="J201" s="1040"/>
      <c r="K201" s="1040"/>
      <c r="L201" s="1040"/>
      <c r="N201" s="961"/>
      <c r="P201" s="961"/>
    </row>
    <row r="202" spans="1:16" s="959" customFormat="1" x14ac:dyDescent="0.25">
      <c r="A202" s="878"/>
      <c r="B202" s="879"/>
      <c r="C202" s="1009"/>
      <c r="D202" s="1010"/>
      <c r="E202" s="1011"/>
      <c r="F202" s="1011"/>
      <c r="G202" s="1039"/>
      <c r="H202" s="1012"/>
      <c r="I202" s="1054"/>
      <c r="J202" s="1040"/>
      <c r="K202" s="1040"/>
      <c r="L202" s="1040"/>
      <c r="N202" s="961"/>
      <c r="P202" s="961"/>
    </row>
    <row r="203" spans="1:16" s="959" customFormat="1" x14ac:dyDescent="0.25">
      <c r="A203" s="878"/>
      <c r="B203" s="879"/>
      <c r="C203" s="1009"/>
      <c r="D203" s="1010"/>
      <c r="E203" s="1011"/>
      <c r="F203" s="1011"/>
      <c r="G203" s="1039"/>
      <c r="H203" s="1012"/>
      <c r="I203" s="1054"/>
      <c r="J203" s="1040"/>
      <c r="K203" s="1040"/>
      <c r="L203" s="1040"/>
      <c r="N203" s="961"/>
      <c r="P203" s="961"/>
    </row>
    <row r="204" spans="1:16" s="959" customFormat="1" x14ac:dyDescent="0.25">
      <c r="A204" s="878"/>
      <c r="B204" s="879"/>
      <c r="C204" s="1009"/>
      <c r="D204" s="1010"/>
      <c r="E204" s="1011"/>
      <c r="F204" s="1011"/>
      <c r="G204" s="1039"/>
      <c r="H204" s="1012"/>
      <c r="I204" s="1054"/>
      <c r="J204" s="1040"/>
      <c r="K204" s="1040"/>
      <c r="L204" s="1040"/>
      <c r="N204" s="961"/>
      <c r="P204" s="961"/>
    </row>
    <row r="205" spans="1:16" s="959" customFormat="1" x14ac:dyDescent="0.25">
      <c r="A205" s="878"/>
      <c r="B205" s="879"/>
      <c r="C205" s="1009"/>
      <c r="D205" s="1010"/>
      <c r="E205" s="1011"/>
      <c r="F205" s="1011"/>
      <c r="G205" s="1039"/>
      <c r="H205" s="1012"/>
      <c r="I205" s="1054"/>
      <c r="J205" s="1040"/>
      <c r="K205" s="1040"/>
      <c r="L205" s="1040"/>
      <c r="N205" s="961"/>
      <c r="P205" s="961"/>
    </row>
    <row r="206" spans="1:16" s="959" customFormat="1" x14ac:dyDescent="0.25">
      <c r="A206" s="878"/>
      <c r="B206" s="879"/>
      <c r="C206" s="1009"/>
      <c r="D206" s="1010"/>
      <c r="E206" s="1011"/>
      <c r="F206" s="1011"/>
      <c r="G206" s="1039"/>
      <c r="H206" s="1012"/>
      <c r="I206" s="1054"/>
      <c r="J206" s="1040"/>
      <c r="K206" s="1040"/>
      <c r="L206" s="1040"/>
      <c r="N206" s="961"/>
      <c r="P206" s="961"/>
    </row>
    <row r="207" spans="1:16" s="959" customFormat="1" x14ac:dyDescent="0.25">
      <c r="A207" s="878"/>
      <c r="B207" s="879"/>
      <c r="C207" s="1009"/>
      <c r="D207" s="1010"/>
      <c r="E207" s="1011"/>
      <c r="F207" s="1011"/>
      <c r="G207" s="1039"/>
      <c r="H207" s="1012"/>
      <c r="I207" s="1054"/>
      <c r="J207" s="1040"/>
      <c r="K207" s="1040"/>
      <c r="L207" s="1040"/>
      <c r="N207" s="961"/>
      <c r="P207" s="961"/>
    </row>
    <row r="208" spans="1:16" s="959" customFormat="1" x14ac:dyDescent="0.25">
      <c r="A208" s="878"/>
      <c r="B208" s="879"/>
      <c r="C208" s="1009"/>
      <c r="D208" s="1010"/>
      <c r="E208" s="1011"/>
      <c r="F208" s="1011"/>
      <c r="G208" s="1039"/>
      <c r="H208" s="1012"/>
      <c r="I208" s="1054"/>
      <c r="J208" s="1040"/>
      <c r="K208" s="1040"/>
      <c r="L208" s="1040"/>
      <c r="N208" s="961"/>
      <c r="P208" s="961"/>
    </row>
    <row r="209" spans="1:16" s="959" customFormat="1" x14ac:dyDescent="0.25">
      <c r="A209" s="878"/>
      <c r="B209" s="879"/>
      <c r="C209" s="1009"/>
      <c r="D209" s="1010"/>
      <c r="E209" s="1011"/>
      <c r="F209" s="1011"/>
      <c r="G209" s="1039"/>
      <c r="H209" s="1012"/>
      <c r="I209" s="1054"/>
      <c r="J209" s="1040"/>
      <c r="K209" s="1040"/>
      <c r="L209" s="1040"/>
      <c r="N209" s="961"/>
      <c r="P209" s="961"/>
    </row>
    <row r="210" spans="1:16" s="959" customFormat="1" x14ac:dyDescent="0.25">
      <c r="A210" s="878"/>
      <c r="B210" s="879"/>
      <c r="C210" s="1009"/>
      <c r="D210" s="1010"/>
      <c r="E210" s="1011"/>
      <c r="F210" s="1011"/>
      <c r="G210" s="1039"/>
      <c r="H210" s="1012"/>
      <c r="I210" s="1054"/>
      <c r="J210" s="1040"/>
      <c r="K210" s="1040"/>
      <c r="L210" s="1040"/>
      <c r="N210" s="961"/>
      <c r="P210" s="961"/>
    </row>
    <row r="211" spans="1:16" s="959" customFormat="1" x14ac:dyDescent="0.25">
      <c r="A211" s="878"/>
      <c r="B211" s="879"/>
      <c r="C211" s="1009"/>
      <c r="D211" s="1010"/>
      <c r="E211" s="1011"/>
      <c r="F211" s="1011"/>
      <c r="G211" s="1039"/>
      <c r="H211" s="1012"/>
      <c r="I211" s="1054"/>
      <c r="J211" s="1040"/>
      <c r="K211" s="1040"/>
      <c r="L211" s="1040"/>
      <c r="N211" s="961"/>
      <c r="P211" s="961"/>
    </row>
    <row r="212" spans="1:16" s="959" customFormat="1" x14ac:dyDescent="0.25">
      <c r="A212" s="878"/>
      <c r="B212" s="879"/>
      <c r="C212" s="1009"/>
      <c r="D212" s="1010"/>
      <c r="E212" s="1011"/>
      <c r="F212" s="1011"/>
      <c r="G212" s="1039"/>
      <c r="H212" s="1012"/>
      <c r="I212" s="1054"/>
      <c r="J212" s="1040"/>
      <c r="K212" s="1040"/>
      <c r="L212" s="1040"/>
      <c r="N212" s="961"/>
      <c r="P212" s="961"/>
    </row>
    <row r="213" spans="1:16" s="959" customFormat="1" x14ac:dyDescent="0.25">
      <c r="A213" s="878"/>
      <c r="B213" s="879"/>
      <c r="C213" s="1009"/>
      <c r="D213" s="1010"/>
      <c r="E213" s="1011"/>
      <c r="F213" s="1011"/>
      <c r="G213" s="1039"/>
      <c r="H213" s="1012"/>
      <c r="I213" s="1054"/>
      <c r="J213" s="1040"/>
      <c r="K213" s="1040"/>
      <c r="L213" s="1040"/>
      <c r="N213" s="961"/>
      <c r="P213" s="961"/>
    </row>
    <row r="214" spans="1:16" s="959" customFormat="1" x14ac:dyDescent="0.25">
      <c r="A214" s="878"/>
      <c r="B214" s="879"/>
      <c r="C214" s="1009"/>
      <c r="D214" s="1010"/>
      <c r="E214" s="1011"/>
      <c r="F214" s="1011"/>
      <c r="G214" s="1039"/>
      <c r="H214" s="1012"/>
      <c r="I214" s="1054"/>
      <c r="J214" s="1040"/>
      <c r="K214" s="1040"/>
      <c r="L214" s="1040"/>
      <c r="N214" s="961"/>
      <c r="P214" s="961"/>
    </row>
    <row r="215" spans="1:16" s="959" customFormat="1" x14ac:dyDescent="0.25">
      <c r="A215" s="878"/>
      <c r="B215" s="879"/>
      <c r="C215" s="1009"/>
      <c r="D215" s="1010"/>
      <c r="E215" s="1011"/>
      <c r="F215" s="1011"/>
      <c r="G215" s="1039"/>
      <c r="H215" s="1012"/>
      <c r="I215" s="1054"/>
      <c r="J215" s="1040"/>
      <c r="K215" s="1040"/>
      <c r="L215" s="1040"/>
      <c r="N215" s="961"/>
      <c r="P215" s="961"/>
    </row>
    <row r="216" spans="1:16" s="959" customFormat="1" x14ac:dyDescent="0.25">
      <c r="A216" s="878"/>
      <c r="B216" s="879"/>
      <c r="C216" s="1009"/>
      <c r="D216" s="1010"/>
      <c r="E216" s="1011"/>
      <c r="F216" s="1011"/>
      <c r="G216" s="1039"/>
      <c r="H216" s="1012"/>
      <c r="I216" s="1054"/>
      <c r="J216" s="1040"/>
      <c r="K216" s="1040"/>
      <c r="L216" s="1040"/>
      <c r="N216" s="961"/>
      <c r="P216" s="961"/>
    </row>
    <row r="217" spans="1:16" s="959" customFormat="1" x14ac:dyDescent="0.25">
      <c r="A217" s="878"/>
      <c r="B217" s="879"/>
      <c r="C217" s="1009"/>
      <c r="D217" s="1010"/>
      <c r="E217" s="1011"/>
      <c r="F217" s="1011"/>
      <c r="G217" s="1039"/>
      <c r="H217" s="1012"/>
      <c r="I217" s="1054"/>
      <c r="J217" s="1040"/>
      <c r="K217" s="1040"/>
      <c r="L217" s="1040"/>
      <c r="N217" s="961"/>
      <c r="P217" s="961"/>
    </row>
    <row r="218" spans="1:16" s="959" customFormat="1" x14ac:dyDescent="0.25">
      <c r="A218" s="878"/>
      <c r="B218" s="879"/>
      <c r="C218" s="1009"/>
      <c r="D218" s="1010"/>
      <c r="E218" s="1011"/>
      <c r="F218" s="1011"/>
      <c r="G218" s="1039"/>
      <c r="H218" s="1012"/>
      <c r="I218" s="1054"/>
      <c r="J218" s="1040"/>
      <c r="K218" s="1040"/>
      <c r="L218" s="1040"/>
      <c r="N218" s="961"/>
      <c r="P218" s="961"/>
    </row>
    <row r="219" spans="1:16" s="959" customFormat="1" x14ac:dyDescent="0.25">
      <c r="A219" s="878"/>
      <c r="B219" s="879"/>
      <c r="C219" s="1009"/>
      <c r="D219" s="1010"/>
      <c r="E219" s="1011"/>
      <c r="F219" s="1011"/>
      <c r="G219" s="1039"/>
      <c r="H219" s="1012"/>
      <c r="I219" s="1054"/>
      <c r="J219" s="1040"/>
      <c r="K219" s="1040"/>
      <c r="L219" s="1040"/>
      <c r="N219" s="961"/>
      <c r="P219" s="961"/>
    </row>
    <row r="220" spans="1:16" s="959" customFormat="1" x14ac:dyDescent="0.25">
      <c r="A220" s="878"/>
      <c r="B220" s="879"/>
      <c r="C220" s="1009"/>
      <c r="D220" s="1010"/>
      <c r="E220" s="1011"/>
      <c r="F220" s="1011"/>
      <c r="G220" s="1039"/>
      <c r="H220" s="1012"/>
      <c r="I220" s="1054"/>
      <c r="J220" s="1040"/>
      <c r="K220" s="1040"/>
      <c r="L220" s="1040"/>
      <c r="N220" s="961"/>
      <c r="P220" s="961"/>
    </row>
    <row r="221" spans="1:16" s="959" customFormat="1" x14ac:dyDescent="0.25">
      <c r="A221" s="878"/>
      <c r="B221" s="879"/>
      <c r="C221" s="1009"/>
      <c r="D221" s="1010"/>
      <c r="E221" s="1011"/>
      <c r="F221" s="1011"/>
      <c r="G221" s="1039"/>
      <c r="H221" s="1012"/>
      <c r="I221" s="1054"/>
      <c r="J221" s="1040"/>
      <c r="K221" s="1040"/>
      <c r="L221" s="1040"/>
      <c r="N221" s="961"/>
      <c r="P221" s="961"/>
    </row>
    <row r="222" spans="1:16" s="959" customFormat="1" x14ac:dyDescent="0.25">
      <c r="A222" s="878"/>
      <c r="B222" s="879"/>
      <c r="C222" s="1009"/>
      <c r="D222" s="1010"/>
      <c r="E222" s="1011"/>
      <c r="F222" s="1011"/>
      <c r="G222" s="1039"/>
      <c r="H222" s="1012"/>
      <c r="I222" s="1054"/>
      <c r="J222" s="1040"/>
      <c r="K222" s="1040"/>
      <c r="L222" s="1040"/>
      <c r="N222" s="961"/>
      <c r="P222" s="961"/>
    </row>
    <row r="223" spans="1:16" s="959" customFormat="1" x14ac:dyDescent="0.25">
      <c r="A223" s="878"/>
      <c r="B223" s="879"/>
      <c r="C223" s="1009"/>
      <c r="D223" s="1010"/>
      <c r="E223" s="1011"/>
      <c r="F223" s="1011"/>
      <c r="G223" s="1039"/>
      <c r="H223" s="1012"/>
      <c r="I223" s="1054"/>
      <c r="J223" s="1040"/>
      <c r="K223" s="1040"/>
      <c r="L223" s="1040"/>
      <c r="N223" s="961"/>
      <c r="P223" s="961"/>
    </row>
    <row r="224" spans="1:16" s="959" customFormat="1" x14ac:dyDescent="0.25">
      <c r="A224" s="878"/>
      <c r="B224" s="879"/>
      <c r="C224" s="1009"/>
      <c r="D224" s="1010"/>
      <c r="E224" s="1011"/>
      <c r="F224" s="1011"/>
      <c r="G224" s="1039"/>
      <c r="H224" s="1012"/>
      <c r="I224" s="1054"/>
      <c r="J224" s="1040"/>
      <c r="K224" s="1040"/>
      <c r="L224" s="1040"/>
      <c r="N224" s="961"/>
      <c r="P224" s="961"/>
    </row>
    <row r="225" spans="1:16" s="959" customFormat="1" x14ac:dyDescent="0.25">
      <c r="A225" s="878"/>
      <c r="B225" s="879"/>
      <c r="C225" s="1009"/>
      <c r="D225" s="1010"/>
      <c r="E225" s="1011"/>
      <c r="F225" s="1011"/>
      <c r="G225" s="1039"/>
      <c r="H225" s="1012"/>
      <c r="I225" s="1054"/>
      <c r="J225" s="1040"/>
      <c r="K225" s="1040"/>
      <c r="L225" s="1040"/>
      <c r="N225" s="961"/>
      <c r="P225" s="961"/>
    </row>
    <row r="226" spans="1:16" s="959" customFormat="1" x14ac:dyDescent="0.25">
      <c r="A226" s="878"/>
      <c r="B226" s="879"/>
      <c r="C226" s="1009"/>
      <c r="D226" s="1010"/>
      <c r="E226" s="1011"/>
      <c r="F226" s="1011"/>
      <c r="G226" s="1039"/>
      <c r="H226" s="1012"/>
      <c r="I226" s="1054"/>
      <c r="J226" s="1040"/>
      <c r="K226" s="1040"/>
      <c r="L226" s="1040"/>
      <c r="N226" s="961"/>
      <c r="P226" s="961"/>
    </row>
    <row r="227" spans="1:16" s="959" customFormat="1" x14ac:dyDescent="0.25">
      <c r="A227" s="878"/>
      <c r="B227" s="879"/>
      <c r="C227" s="1009"/>
      <c r="D227" s="1010"/>
      <c r="E227" s="1011"/>
      <c r="F227" s="1011"/>
      <c r="G227" s="1039"/>
      <c r="H227" s="1012"/>
      <c r="I227" s="1054"/>
      <c r="J227" s="1040"/>
      <c r="K227" s="1040"/>
      <c r="L227" s="1040"/>
      <c r="N227" s="961"/>
      <c r="P227" s="961"/>
    </row>
    <row r="228" spans="1:16" s="959" customFormat="1" x14ac:dyDescent="0.25">
      <c r="A228" s="878"/>
      <c r="B228" s="879"/>
      <c r="C228" s="1009"/>
      <c r="D228" s="1010"/>
      <c r="E228" s="1011"/>
      <c r="F228" s="1011"/>
      <c r="G228" s="1039"/>
      <c r="H228" s="1012"/>
      <c r="I228" s="1054"/>
      <c r="J228" s="1040"/>
      <c r="K228" s="1040"/>
      <c r="L228" s="1040"/>
      <c r="N228" s="961"/>
      <c r="P228" s="961"/>
    </row>
    <row r="229" spans="1:16" s="959" customFormat="1" x14ac:dyDescent="0.25">
      <c r="A229" s="878"/>
      <c r="B229" s="879"/>
      <c r="C229" s="1009"/>
      <c r="D229" s="1010"/>
      <c r="E229" s="1011"/>
      <c r="F229" s="1011"/>
      <c r="G229" s="1039"/>
      <c r="H229" s="1012"/>
      <c r="I229" s="1054"/>
      <c r="J229" s="1040"/>
      <c r="K229" s="1040"/>
      <c r="L229" s="1040"/>
      <c r="N229" s="961"/>
      <c r="P229" s="961"/>
    </row>
    <row r="230" spans="1:16" s="959" customFormat="1" x14ac:dyDescent="0.25">
      <c r="A230" s="878"/>
      <c r="B230" s="879"/>
      <c r="C230" s="1009"/>
      <c r="D230" s="1010"/>
      <c r="E230" s="1011"/>
      <c r="F230" s="1011"/>
      <c r="G230" s="1039"/>
      <c r="H230" s="1012"/>
      <c r="I230" s="1054"/>
      <c r="J230" s="1040"/>
      <c r="K230" s="1040"/>
      <c r="L230" s="1040"/>
      <c r="N230" s="961"/>
      <c r="P230" s="961"/>
    </row>
    <row r="231" spans="1:16" s="959" customFormat="1" x14ac:dyDescent="0.25">
      <c r="A231" s="878"/>
      <c r="B231" s="879"/>
      <c r="C231" s="1009"/>
      <c r="D231" s="1010"/>
      <c r="E231" s="1011"/>
      <c r="F231" s="1011"/>
      <c r="G231" s="1039"/>
      <c r="H231" s="1012"/>
      <c r="I231" s="1054"/>
      <c r="J231" s="1040"/>
      <c r="K231" s="1040"/>
      <c r="L231" s="1040"/>
      <c r="N231" s="961"/>
      <c r="P231" s="961"/>
    </row>
    <row r="232" spans="1:16" s="959" customFormat="1" x14ac:dyDescent="0.25">
      <c r="A232" s="878"/>
      <c r="B232" s="879"/>
      <c r="C232" s="1009"/>
      <c r="D232" s="1010"/>
      <c r="E232" s="1011"/>
      <c r="F232" s="1011"/>
      <c r="G232" s="1039"/>
      <c r="H232" s="1012"/>
      <c r="I232" s="1054"/>
      <c r="J232" s="1040"/>
      <c r="K232" s="1040"/>
      <c r="L232" s="1040"/>
      <c r="N232" s="961"/>
      <c r="P232" s="961"/>
    </row>
    <row r="233" spans="1:16" s="959" customFormat="1" x14ac:dyDescent="0.25">
      <c r="A233" s="878"/>
      <c r="B233" s="879"/>
      <c r="C233" s="1009"/>
      <c r="D233" s="1010"/>
      <c r="E233" s="1011"/>
      <c r="F233" s="1011"/>
      <c r="G233" s="1039"/>
      <c r="H233" s="1012"/>
      <c r="I233" s="1054"/>
      <c r="J233" s="1040"/>
      <c r="K233" s="1040"/>
      <c r="L233" s="1040"/>
      <c r="N233" s="961"/>
      <c r="P233" s="961"/>
    </row>
    <row r="234" spans="1:16" s="959" customFormat="1" x14ac:dyDescent="0.25">
      <c r="A234" s="878"/>
      <c r="B234" s="879"/>
      <c r="C234" s="1009"/>
      <c r="D234" s="1010"/>
      <c r="E234" s="1011"/>
      <c r="F234" s="1011"/>
      <c r="G234" s="1039"/>
      <c r="H234" s="1012"/>
      <c r="I234" s="1054"/>
      <c r="J234" s="1040"/>
      <c r="K234" s="1040"/>
      <c r="L234" s="1040"/>
      <c r="N234" s="961"/>
      <c r="P234" s="961"/>
    </row>
    <row r="235" spans="1:16" s="959" customFormat="1" x14ac:dyDescent="0.25">
      <c r="A235" s="878"/>
      <c r="B235" s="879"/>
      <c r="C235" s="1009"/>
      <c r="D235" s="1010"/>
      <c r="E235" s="1011"/>
      <c r="F235" s="1011"/>
      <c r="G235" s="1039"/>
      <c r="H235" s="1012"/>
      <c r="I235" s="1054"/>
      <c r="J235" s="1040"/>
      <c r="K235" s="1040"/>
      <c r="L235" s="1040"/>
      <c r="N235" s="961"/>
      <c r="P235" s="961"/>
    </row>
    <row r="236" spans="1:16" s="959" customFormat="1" x14ac:dyDescent="0.25">
      <c r="A236" s="878"/>
      <c r="B236" s="879"/>
      <c r="C236" s="1009"/>
      <c r="D236" s="1010"/>
      <c r="E236" s="1011"/>
      <c r="F236" s="1011"/>
      <c r="G236" s="1039"/>
      <c r="H236" s="1012"/>
      <c r="I236" s="1054"/>
      <c r="J236" s="1040"/>
      <c r="K236" s="1040"/>
      <c r="L236" s="1040"/>
      <c r="N236" s="961"/>
      <c r="P236" s="961"/>
    </row>
    <row r="237" spans="1:16" s="959" customFormat="1" x14ac:dyDescent="0.25">
      <c r="A237" s="878"/>
      <c r="B237" s="879"/>
      <c r="C237" s="1009"/>
      <c r="D237" s="1010"/>
      <c r="E237" s="1011"/>
      <c r="F237" s="1011"/>
      <c r="G237" s="1039"/>
      <c r="H237" s="1012"/>
      <c r="I237" s="1054"/>
      <c r="J237" s="1040"/>
      <c r="K237" s="1040"/>
      <c r="L237" s="1040"/>
      <c r="N237" s="961"/>
      <c r="P237" s="961"/>
    </row>
    <row r="238" spans="1:16" s="959" customFormat="1" x14ac:dyDescent="0.25">
      <c r="A238" s="878"/>
      <c r="B238" s="879"/>
      <c r="C238" s="1009"/>
      <c r="D238" s="1010"/>
      <c r="E238" s="1011"/>
      <c r="F238" s="1011"/>
      <c r="G238" s="1039"/>
      <c r="H238" s="1012"/>
      <c r="I238" s="1054"/>
      <c r="J238" s="1040"/>
      <c r="K238" s="1040"/>
      <c r="L238" s="1040"/>
      <c r="N238" s="961"/>
      <c r="P238" s="961"/>
    </row>
    <row r="239" spans="1:16" s="959" customFormat="1" x14ac:dyDescent="0.25">
      <c r="A239" s="878"/>
      <c r="B239" s="879"/>
      <c r="C239" s="1009"/>
      <c r="D239" s="1010"/>
      <c r="E239" s="1011"/>
      <c r="F239" s="1011"/>
      <c r="G239" s="1039"/>
      <c r="H239" s="1012"/>
      <c r="I239" s="1054"/>
      <c r="J239" s="1040"/>
      <c r="K239" s="1040"/>
      <c r="L239" s="1040"/>
      <c r="N239" s="961"/>
      <c r="P239" s="961"/>
    </row>
    <row r="240" spans="1:16" s="959" customFormat="1" x14ac:dyDescent="0.25">
      <c r="A240" s="878"/>
      <c r="B240" s="879"/>
      <c r="C240" s="1009"/>
      <c r="D240" s="1010"/>
      <c r="E240" s="1011"/>
      <c r="F240" s="1011"/>
      <c r="G240" s="1039"/>
      <c r="H240" s="1012"/>
      <c r="I240" s="1054"/>
      <c r="J240" s="1040"/>
      <c r="K240" s="1040"/>
      <c r="L240" s="1040"/>
      <c r="N240" s="961"/>
      <c r="P240" s="961"/>
    </row>
    <row r="241" spans="1:16" s="959" customFormat="1" x14ac:dyDescent="0.25">
      <c r="A241" s="878"/>
      <c r="B241" s="879"/>
      <c r="C241" s="1009"/>
      <c r="D241" s="1010"/>
      <c r="E241" s="1011"/>
      <c r="F241" s="1011"/>
      <c r="G241" s="1039"/>
      <c r="H241" s="1012"/>
      <c r="I241" s="1054"/>
      <c r="J241" s="1040"/>
      <c r="K241" s="1040"/>
      <c r="L241" s="1040"/>
      <c r="N241" s="961"/>
      <c r="P241" s="961"/>
    </row>
    <row r="242" spans="1:16" s="959" customFormat="1" x14ac:dyDescent="0.25">
      <c r="A242" s="878"/>
      <c r="B242" s="879"/>
      <c r="C242" s="1009"/>
      <c r="D242" s="1010"/>
      <c r="E242" s="1011"/>
      <c r="F242" s="1011"/>
      <c r="G242" s="1039"/>
      <c r="H242" s="1012"/>
      <c r="I242" s="1054"/>
      <c r="J242" s="1040"/>
      <c r="K242" s="1040"/>
      <c r="L242" s="1040"/>
      <c r="N242" s="961"/>
      <c r="P242" s="961"/>
    </row>
    <row r="243" spans="1:16" s="959" customFormat="1" x14ac:dyDescent="0.25">
      <c r="A243" s="878"/>
      <c r="B243" s="879"/>
      <c r="C243" s="1009"/>
      <c r="D243" s="1010"/>
      <c r="E243" s="1011"/>
      <c r="F243" s="1011"/>
      <c r="G243" s="1039"/>
      <c r="H243" s="1012"/>
      <c r="I243" s="1054"/>
      <c r="J243" s="1040"/>
      <c r="K243" s="1040"/>
      <c r="L243" s="1040"/>
      <c r="N243" s="961"/>
      <c r="P243" s="961"/>
    </row>
    <row r="244" spans="1:16" s="959" customFormat="1" x14ac:dyDescent="0.25">
      <c r="A244" s="878"/>
      <c r="B244" s="879"/>
      <c r="C244" s="1009"/>
      <c r="D244" s="1010"/>
      <c r="E244" s="1011"/>
      <c r="F244" s="1011"/>
      <c r="G244" s="1039"/>
      <c r="H244" s="1012"/>
      <c r="I244" s="1054"/>
      <c r="J244" s="1040"/>
      <c r="K244" s="1040"/>
      <c r="L244" s="1040"/>
      <c r="N244" s="961"/>
      <c r="P244" s="961"/>
    </row>
    <row r="245" spans="1:16" s="959" customFormat="1" x14ac:dyDescent="0.25">
      <c r="A245" s="878"/>
      <c r="B245" s="879"/>
      <c r="C245" s="1009"/>
      <c r="D245" s="1010"/>
      <c r="E245" s="1011"/>
      <c r="F245" s="1011"/>
      <c r="G245" s="1039"/>
      <c r="H245" s="1012"/>
      <c r="I245" s="1054"/>
      <c r="J245" s="1040"/>
      <c r="K245" s="1040"/>
      <c r="L245" s="1040"/>
      <c r="N245" s="961"/>
      <c r="P245" s="961"/>
    </row>
    <row r="246" spans="1:16" s="959" customFormat="1" x14ac:dyDescent="0.25">
      <c r="A246" s="878"/>
      <c r="B246" s="879"/>
      <c r="C246" s="1009"/>
      <c r="D246" s="1010"/>
      <c r="E246" s="1011"/>
      <c r="F246" s="1011"/>
      <c r="G246" s="1039"/>
      <c r="H246" s="1012"/>
      <c r="I246" s="1054"/>
      <c r="J246" s="1040"/>
      <c r="K246" s="1040"/>
      <c r="L246" s="1040"/>
      <c r="N246" s="961"/>
      <c r="P246" s="961"/>
    </row>
    <row r="247" spans="1:16" s="959" customFormat="1" x14ac:dyDescent="0.25">
      <c r="A247" s="878"/>
      <c r="B247" s="879"/>
      <c r="C247" s="1009"/>
      <c r="D247" s="1010"/>
      <c r="E247" s="1011"/>
      <c r="F247" s="1011"/>
      <c r="G247" s="1039"/>
      <c r="H247" s="1012"/>
      <c r="I247" s="1054"/>
      <c r="J247" s="1040"/>
      <c r="K247" s="1040"/>
      <c r="L247" s="1040"/>
      <c r="N247" s="961"/>
      <c r="P247" s="961"/>
    </row>
    <row r="248" spans="1:16" s="959" customFormat="1" x14ac:dyDescent="0.25">
      <c r="A248" s="878"/>
      <c r="B248" s="879"/>
      <c r="C248" s="1009"/>
      <c r="D248" s="1010"/>
      <c r="E248" s="1011"/>
      <c r="F248" s="1011"/>
      <c r="G248" s="1039"/>
      <c r="H248" s="1012"/>
      <c r="I248" s="1054"/>
      <c r="J248" s="1040"/>
      <c r="K248" s="1040"/>
      <c r="L248" s="1040"/>
      <c r="N248" s="961"/>
      <c r="P248" s="961"/>
    </row>
    <row r="249" spans="1:16" s="959" customFormat="1" x14ac:dyDescent="0.25">
      <c r="A249" s="878"/>
      <c r="B249" s="879"/>
      <c r="C249" s="1009"/>
      <c r="D249" s="1010"/>
      <c r="E249" s="1011"/>
      <c r="F249" s="1011"/>
      <c r="G249" s="1039"/>
      <c r="H249" s="1012"/>
      <c r="I249" s="1054"/>
      <c r="J249" s="1040"/>
      <c r="K249" s="1040"/>
      <c r="L249" s="1040"/>
      <c r="N249" s="961"/>
      <c r="P249" s="961"/>
    </row>
    <row r="250" spans="1:16" s="959" customFormat="1" x14ac:dyDescent="0.25">
      <c r="A250" s="878"/>
      <c r="B250" s="879"/>
      <c r="C250" s="1009"/>
      <c r="D250" s="1010"/>
      <c r="E250" s="1011"/>
      <c r="F250" s="1011"/>
      <c r="G250" s="1039"/>
      <c r="H250" s="1012"/>
      <c r="I250" s="1054"/>
      <c r="J250" s="1040"/>
      <c r="K250" s="1040"/>
      <c r="L250" s="1040"/>
      <c r="N250" s="961"/>
      <c r="P250" s="961"/>
    </row>
    <row r="251" spans="1:16" s="959" customFormat="1" x14ac:dyDescent="0.25">
      <c r="A251" s="878"/>
      <c r="B251" s="879"/>
      <c r="C251" s="1009"/>
      <c r="D251" s="1010"/>
      <c r="E251" s="1011"/>
      <c r="F251" s="1011"/>
      <c r="G251" s="1039"/>
      <c r="H251" s="1012"/>
      <c r="I251" s="1054"/>
      <c r="J251" s="1040"/>
      <c r="K251" s="1040"/>
      <c r="L251" s="1040"/>
      <c r="N251" s="961"/>
      <c r="P251" s="961"/>
    </row>
    <row r="252" spans="1:16" s="959" customFormat="1" x14ac:dyDescent="0.25">
      <c r="A252" s="878"/>
      <c r="B252" s="879"/>
      <c r="C252" s="1009"/>
      <c r="D252" s="1010"/>
      <c r="E252" s="1011"/>
      <c r="F252" s="1011"/>
      <c r="G252" s="1039"/>
      <c r="H252" s="1012"/>
      <c r="I252" s="1054"/>
      <c r="J252" s="1040"/>
      <c r="K252" s="1040"/>
      <c r="L252" s="1040"/>
      <c r="N252" s="961"/>
      <c r="P252" s="961"/>
    </row>
    <row r="253" spans="1:16" s="959" customFormat="1" x14ac:dyDescent="0.25">
      <c r="A253" s="878"/>
      <c r="B253" s="879"/>
      <c r="C253" s="1009"/>
      <c r="D253" s="1010"/>
      <c r="E253" s="1011"/>
      <c r="F253" s="1011"/>
      <c r="G253" s="1039"/>
      <c r="H253" s="1012"/>
      <c r="I253" s="1054"/>
      <c r="J253" s="1040"/>
      <c r="K253" s="1040"/>
      <c r="L253" s="1040"/>
      <c r="N253" s="961"/>
      <c r="P253" s="961"/>
    </row>
    <row r="254" spans="1:16" s="959" customFormat="1" x14ac:dyDescent="0.25">
      <c r="A254" s="878"/>
      <c r="B254" s="879"/>
      <c r="C254" s="1009"/>
      <c r="D254" s="1010"/>
      <c r="E254" s="1011"/>
      <c r="F254" s="1011"/>
      <c r="G254" s="1039"/>
      <c r="H254" s="1012"/>
      <c r="I254" s="1054"/>
      <c r="J254" s="1040"/>
      <c r="K254" s="1040"/>
      <c r="L254" s="1040"/>
      <c r="N254" s="961"/>
      <c r="P254" s="961"/>
    </row>
    <row r="255" spans="1:16" s="959" customFormat="1" x14ac:dyDescent="0.25">
      <c r="A255" s="878"/>
      <c r="B255" s="879"/>
      <c r="C255" s="1009"/>
      <c r="D255" s="1010"/>
      <c r="E255" s="1011"/>
      <c r="F255" s="1011"/>
      <c r="G255" s="1039"/>
      <c r="H255" s="1012"/>
      <c r="I255" s="1054"/>
      <c r="J255" s="1040"/>
      <c r="K255" s="1040"/>
      <c r="L255" s="1040"/>
      <c r="N255" s="961"/>
      <c r="P255" s="961"/>
    </row>
    <row r="256" spans="1:16" s="959" customFormat="1" x14ac:dyDescent="0.25">
      <c r="A256" s="878"/>
      <c r="B256" s="879"/>
      <c r="C256" s="1009"/>
      <c r="D256" s="1010"/>
      <c r="E256" s="1011"/>
      <c r="F256" s="1011"/>
      <c r="G256" s="1039"/>
      <c r="H256" s="1012"/>
      <c r="I256" s="1054"/>
      <c r="J256" s="1040"/>
      <c r="K256" s="1040"/>
      <c r="L256" s="1040"/>
      <c r="N256" s="961"/>
      <c r="P256" s="961"/>
    </row>
    <row r="257" spans="1:16" s="959" customFormat="1" x14ac:dyDescent="0.25">
      <c r="A257" s="878"/>
      <c r="B257" s="879"/>
      <c r="C257" s="1009"/>
      <c r="D257" s="1010"/>
      <c r="E257" s="1011"/>
      <c r="F257" s="1011"/>
      <c r="G257" s="1039"/>
      <c r="H257" s="1012"/>
      <c r="I257" s="1054"/>
      <c r="J257" s="1040"/>
      <c r="K257" s="1040"/>
      <c r="L257" s="1040"/>
      <c r="N257" s="961"/>
      <c r="P257" s="961"/>
    </row>
    <row r="258" spans="1:16" s="959" customFormat="1" x14ac:dyDescent="0.25">
      <c r="A258" s="878"/>
      <c r="B258" s="879"/>
      <c r="C258" s="1009"/>
      <c r="D258" s="1010"/>
      <c r="E258" s="1011"/>
      <c r="F258" s="1011"/>
      <c r="G258" s="1039"/>
      <c r="H258" s="1012"/>
      <c r="I258" s="1054"/>
      <c r="J258" s="1040"/>
      <c r="K258" s="1040"/>
      <c r="L258" s="1040"/>
      <c r="N258" s="961"/>
      <c r="P258" s="961"/>
    </row>
    <row r="259" spans="1:16" s="959" customFormat="1" x14ac:dyDescent="0.25">
      <c r="A259" s="878"/>
      <c r="B259" s="879"/>
      <c r="C259" s="1009"/>
      <c r="D259" s="1010"/>
      <c r="E259" s="1011"/>
      <c r="F259" s="1011"/>
      <c r="G259" s="1039"/>
      <c r="H259" s="1012"/>
      <c r="I259" s="1054"/>
      <c r="J259" s="1040"/>
      <c r="K259" s="1040"/>
      <c r="L259" s="1040"/>
      <c r="N259" s="961"/>
      <c r="P259" s="961"/>
    </row>
    <row r="260" spans="1:16" s="959" customFormat="1" x14ac:dyDescent="0.25">
      <c r="A260" s="878"/>
      <c r="B260" s="879"/>
      <c r="C260" s="1009"/>
      <c r="D260" s="1010"/>
      <c r="E260" s="1011"/>
      <c r="F260" s="1011"/>
      <c r="G260" s="1039"/>
      <c r="H260" s="1012"/>
      <c r="I260" s="1054"/>
      <c r="J260" s="1040"/>
      <c r="K260" s="1040"/>
      <c r="L260" s="1040"/>
      <c r="N260" s="961"/>
      <c r="P260" s="961"/>
    </row>
    <row r="261" spans="1:16" s="959" customFormat="1" x14ac:dyDescent="0.25">
      <c r="A261" s="878"/>
      <c r="B261" s="879"/>
      <c r="C261" s="1009"/>
      <c r="D261" s="1010"/>
      <c r="E261" s="1011"/>
      <c r="F261" s="1011"/>
      <c r="G261" s="1039"/>
      <c r="H261" s="1012"/>
      <c r="I261" s="1054"/>
      <c r="J261" s="1040"/>
      <c r="K261" s="1040"/>
      <c r="L261" s="1040"/>
      <c r="N261" s="961"/>
      <c r="P261" s="961"/>
    </row>
    <row r="262" spans="1:16" s="959" customFormat="1" x14ac:dyDescent="0.25">
      <c r="A262" s="878"/>
      <c r="B262" s="879"/>
      <c r="C262" s="1009"/>
      <c r="D262" s="1010"/>
      <c r="E262" s="1011"/>
      <c r="F262" s="1011"/>
      <c r="G262" s="1039"/>
      <c r="H262" s="1012"/>
      <c r="I262" s="1054"/>
      <c r="J262" s="1040"/>
      <c r="K262" s="1040"/>
      <c r="L262" s="1040"/>
      <c r="N262" s="961"/>
      <c r="P262" s="961"/>
    </row>
    <row r="263" spans="1:16" s="959" customFormat="1" x14ac:dyDescent="0.25">
      <c r="A263" s="878"/>
      <c r="B263" s="879"/>
      <c r="C263" s="1009"/>
      <c r="D263" s="1010"/>
      <c r="E263" s="1011"/>
      <c r="F263" s="1011"/>
      <c r="G263" s="1039"/>
      <c r="H263" s="1012"/>
      <c r="I263" s="1054"/>
      <c r="J263" s="1040"/>
      <c r="K263" s="1040"/>
      <c r="L263" s="1040"/>
      <c r="N263" s="961"/>
      <c r="P263" s="961"/>
    </row>
    <row r="264" spans="1:16" s="959" customFormat="1" x14ac:dyDescent="0.25">
      <c r="A264" s="878"/>
      <c r="B264" s="879"/>
      <c r="C264" s="1009"/>
      <c r="D264" s="1010"/>
      <c r="E264" s="1011"/>
      <c r="F264" s="1011"/>
      <c r="G264" s="1039"/>
      <c r="H264" s="1012"/>
      <c r="I264" s="1054"/>
      <c r="J264" s="1040"/>
      <c r="K264" s="1040"/>
      <c r="L264" s="1040"/>
      <c r="N264" s="961"/>
      <c r="P264" s="961"/>
    </row>
  </sheetData>
  <mergeCells count="20">
    <mergeCell ref="A81:D81"/>
    <mergeCell ref="B90:D90"/>
    <mergeCell ref="E90:G90"/>
    <mergeCell ref="H90:J90"/>
    <mergeCell ref="A4:L4"/>
    <mergeCell ref="A6:A8"/>
    <mergeCell ref="B6:B8"/>
    <mergeCell ref="C6:C8"/>
    <mergeCell ref="D6:D8"/>
    <mergeCell ref="E6:H6"/>
    <mergeCell ref="I6:L6"/>
    <mergeCell ref="E7:E8"/>
    <mergeCell ref="F7:H7"/>
    <mergeCell ref="I7:I8"/>
    <mergeCell ref="J7:L7"/>
    <mergeCell ref="A153:C153"/>
    <mergeCell ref="A145:C145"/>
    <mergeCell ref="A147:C147"/>
    <mergeCell ref="A149:C149"/>
    <mergeCell ref="A151:C151"/>
  </mergeCells>
  <pageMargins left="0.51181102362204722" right="0.51181102362204722" top="0.55118110236220474" bottom="0.55118110236220474" header="0.31496062992125984" footer="0.31496062992125984"/>
  <pageSetup paperSize="9" scale="43" fitToHeight="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05"/>
  <sheetViews>
    <sheetView workbookViewId="0">
      <pane xSplit="2" ySplit="7" topLeftCell="C8" activePane="bottomRight" state="frozen"/>
      <selection pane="topRight" activeCell="C1" sqref="C1"/>
      <selection pane="bottomLeft" activeCell="A8" sqref="A8"/>
      <selection pane="bottomRight" activeCell="B269" sqref="B269"/>
    </sheetView>
  </sheetViews>
  <sheetFormatPr defaultRowHeight="15.75" x14ac:dyDescent="0.25"/>
  <cols>
    <col min="1" max="1" width="6.42578125" style="958" customWidth="1"/>
    <col min="2" max="2" width="49.28515625" style="954" customWidth="1"/>
    <col min="3" max="3" width="16.7109375" style="867" customWidth="1"/>
    <col min="4" max="4" width="15.5703125" style="868" customWidth="1"/>
    <col min="5" max="5" width="14.7109375" style="868" customWidth="1"/>
    <col min="6" max="6" width="17.85546875" style="955" customWidth="1"/>
    <col min="7" max="7" width="57.5703125" style="956" customWidth="1"/>
  </cols>
  <sheetData>
    <row r="1" spans="1:7" x14ac:dyDescent="0.25">
      <c r="A1" s="865"/>
      <c r="B1" s="866"/>
      <c r="E1" s="867"/>
      <c r="F1" s="869"/>
      <c r="G1" s="870"/>
    </row>
    <row r="2" spans="1:7" x14ac:dyDescent="0.25">
      <c r="A2" s="865"/>
      <c r="B2" s="866"/>
      <c r="E2" s="867"/>
      <c r="F2" s="869"/>
      <c r="G2" s="870"/>
    </row>
    <row r="3" spans="1:7" x14ac:dyDescent="0.25">
      <c r="A3" s="1202" t="s">
        <v>187</v>
      </c>
      <c r="B3" s="1202"/>
      <c r="C3" s="1202"/>
      <c r="D3" s="1202"/>
      <c r="E3" s="1202"/>
      <c r="F3" s="1202"/>
      <c r="G3" s="1202"/>
    </row>
    <row r="4" spans="1:7" x14ac:dyDescent="0.25">
      <c r="A4" s="1202" t="s">
        <v>998</v>
      </c>
      <c r="B4" s="1202"/>
      <c r="C4" s="1202"/>
      <c r="D4" s="1202"/>
      <c r="E4" s="1202"/>
      <c r="F4" s="1202"/>
      <c r="G4" s="1202"/>
    </row>
    <row r="5" spans="1:7" x14ac:dyDescent="0.25">
      <c r="A5" s="865"/>
      <c r="B5" s="866"/>
      <c r="E5" s="867"/>
      <c r="F5" s="869"/>
      <c r="G5" s="870"/>
    </row>
    <row r="6" spans="1:7" x14ac:dyDescent="0.25">
      <c r="A6" s="1162" t="s">
        <v>26</v>
      </c>
      <c r="B6" s="1163" t="s">
        <v>188</v>
      </c>
      <c r="C6" s="1203" t="s">
        <v>189</v>
      </c>
      <c r="D6" s="1203"/>
      <c r="E6" s="1263" t="s">
        <v>190</v>
      </c>
      <c r="F6" s="1164" t="s">
        <v>191</v>
      </c>
      <c r="G6" s="1263" t="s">
        <v>192</v>
      </c>
    </row>
    <row r="7" spans="1:7" ht="51" customHeight="1" x14ac:dyDescent="0.25">
      <c r="A7" s="1162"/>
      <c r="B7" s="1163"/>
      <c r="C7" s="981" t="s">
        <v>193</v>
      </c>
      <c r="D7" s="995" t="s">
        <v>194</v>
      </c>
      <c r="E7" s="1263"/>
      <c r="F7" s="1164"/>
      <c r="G7" s="1263"/>
    </row>
    <row r="8" spans="1:7" x14ac:dyDescent="0.25">
      <c r="A8" s="948" t="s">
        <v>28</v>
      </c>
      <c r="B8" s="988">
        <v>2</v>
      </c>
      <c r="C8" s="379" t="s">
        <v>103</v>
      </c>
      <c r="D8" s="988">
        <v>4</v>
      </c>
      <c r="E8" s="987" t="s">
        <v>155</v>
      </c>
      <c r="F8" s="989">
        <v>6</v>
      </c>
      <c r="G8" s="849" t="s">
        <v>29</v>
      </c>
    </row>
    <row r="9" spans="1:7" x14ac:dyDescent="0.25">
      <c r="A9" s="190">
        <v>1</v>
      </c>
      <c r="B9" s="1165" t="s">
        <v>48</v>
      </c>
      <c r="C9" s="1165"/>
      <c r="D9" s="1165"/>
      <c r="E9" s="1165"/>
      <c r="F9" s="1165"/>
      <c r="G9" s="1165"/>
    </row>
    <row r="10" spans="1:7" ht="50.25" customHeight="1" x14ac:dyDescent="0.25">
      <c r="A10" s="197" t="s">
        <v>46</v>
      </c>
      <c r="B10" s="1138" t="s">
        <v>195</v>
      </c>
      <c r="C10" s="1169"/>
      <c r="D10" s="1169"/>
      <c r="E10" s="1169"/>
      <c r="F10" s="1169"/>
      <c r="G10" s="1169"/>
    </row>
    <row r="11" spans="1:7" s="951" customFormat="1" ht="31.5" x14ac:dyDescent="0.25">
      <c r="A11" s="965"/>
      <c r="B11" s="774" t="s">
        <v>196</v>
      </c>
      <c r="C11" s="778">
        <f>'фін-ня ІІІ кварта 2019 року'!E12</f>
        <v>13082.84</v>
      </c>
      <c r="D11" s="778">
        <f>'фін-ня ІІІ кварта 2019 року'!I12</f>
        <v>8672.98</v>
      </c>
      <c r="E11" s="778">
        <f>D11-C11</f>
        <v>-4409.8600000000006</v>
      </c>
      <c r="F11" s="778">
        <f>D11/C11*100</f>
        <v>66.292792696387011</v>
      </c>
      <c r="G11" s="443" t="s">
        <v>991</v>
      </c>
    </row>
    <row r="12" spans="1:7" s="951" customFormat="1" ht="47.25" x14ac:dyDescent="0.25">
      <c r="A12" s="965"/>
      <c r="B12" s="774" t="s">
        <v>865</v>
      </c>
      <c r="C12" s="778">
        <v>26000</v>
      </c>
      <c r="D12" s="778">
        <v>30369</v>
      </c>
      <c r="E12" s="778">
        <f>D12-C12</f>
        <v>4369</v>
      </c>
      <c r="F12" s="778">
        <f>D12/C12*100</f>
        <v>116.80384615384615</v>
      </c>
      <c r="G12" s="443" t="s">
        <v>959</v>
      </c>
    </row>
    <row r="13" spans="1:7" s="951" customFormat="1" ht="47.25" x14ac:dyDescent="0.25">
      <c r="A13" s="965"/>
      <c r="B13" s="774" t="s">
        <v>866</v>
      </c>
      <c r="C13" s="700">
        <f>C11/C12</f>
        <v>0.50318615384615384</v>
      </c>
      <c r="D13" s="700">
        <f>D11/D12</f>
        <v>0.28558661793276036</v>
      </c>
      <c r="E13" s="778">
        <f>D13-C13</f>
        <v>-0.21759953591339348</v>
      </c>
      <c r="F13" s="778">
        <f>D13/C13*100</f>
        <v>56.755659063718348</v>
      </c>
      <c r="G13" s="1006" t="s">
        <v>1052</v>
      </c>
    </row>
    <row r="14" spans="1:7" s="951" customFormat="1" ht="63" x14ac:dyDescent="0.25">
      <c r="A14" s="965"/>
      <c r="B14" s="774" t="s">
        <v>867</v>
      </c>
      <c r="C14" s="778">
        <v>75</v>
      </c>
      <c r="D14" s="778">
        <f>D12/33700*100</f>
        <v>90.115727002967361</v>
      </c>
      <c r="E14" s="778">
        <f>D14-C14</f>
        <v>15.115727002967361</v>
      </c>
      <c r="F14" s="778">
        <f>D14/C14*100</f>
        <v>120.15430267062315</v>
      </c>
      <c r="G14" s="773" t="s">
        <v>1055</v>
      </c>
    </row>
    <row r="15" spans="1:7" x14ac:dyDescent="0.25">
      <c r="A15" s="382"/>
      <c r="B15" s="1152" t="s">
        <v>200</v>
      </c>
      <c r="C15" s="1153"/>
      <c r="D15" s="1153"/>
      <c r="E15" s="1153"/>
      <c r="F15" s="1153"/>
      <c r="G15" s="1153"/>
    </row>
    <row r="16" spans="1:7" s="951" customFormat="1" ht="31.5" x14ac:dyDescent="0.25">
      <c r="A16" s="966"/>
      <c r="B16" s="771" t="s">
        <v>196</v>
      </c>
      <c r="C16" s="778">
        <f>'фін-ня ІІІ кварта 2019 року'!E13</f>
        <v>7339.81</v>
      </c>
      <c r="D16" s="778">
        <f>'фін-ня ІІІ кварта 2019 року'!I13</f>
        <v>9056.14</v>
      </c>
      <c r="E16" s="778">
        <f>D16-C16</f>
        <v>1716.329999999999</v>
      </c>
      <c r="F16" s="778">
        <f>D16/C16*100</f>
        <v>123.38384781077438</v>
      </c>
      <c r="G16" s="443" t="s">
        <v>992</v>
      </c>
    </row>
    <row r="17" spans="1:12" s="951" customFormat="1" ht="31.5" x14ac:dyDescent="0.25">
      <c r="A17" s="966"/>
      <c r="B17" s="771" t="s">
        <v>869</v>
      </c>
      <c r="C17" s="778">
        <v>19500</v>
      </c>
      <c r="D17" s="778">
        <v>12145</v>
      </c>
      <c r="E17" s="778">
        <f>D17-C17</f>
        <v>-7355</v>
      </c>
      <c r="F17" s="778">
        <f>D17/C17*100</f>
        <v>62.282051282051285</v>
      </c>
      <c r="G17" s="701" t="s">
        <v>960</v>
      </c>
      <c r="L17" s="1005"/>
    </row>
    <row r="18" spans="1:12" s="951" customFormat="1" ht="47.25" x14ac:dyDescent="0.25">
      <c r="A18" s="966"/>
      <c r="B18" s="771" t="s">
        <v>870</v>
      </c>
      <c r="C18" s="778">
        <f>C16/C17</f>
        <v>0.37640051282051284</v>
      </c>
      <c r="D18" s="778">
        <f>D16/D17</f>
        <v>0.74566817620419923</v>
      </c>
      <c r="E18" s="778">
        <f>D18-C18</f>
        <v>0.36926766338368638</v>
      </c>
      <c r="F18" s="778">
        <f>D18/C18*100</f>
        <v>198.10498413421988</v>
      </c>
      <c r="G18" s="1006" t="s">
        <v>1053</v>
      </c>
    </row>
    <row r="19" spans="1:12" s="951" customFormat="1" ht="63" x14ac:dyDescent="0.25">
      <c r="A19" s="966"/>
      <c r="B19" s="771" t="s">
        <v>871</v>
      </c>
      <c r="C19" s="700">
        <v>59</v>
      </c>
      <c r="D19" s="778">
        <f>D17/32200*100</f>
        <v>37.717391304347828</v>
      </c>
      <c r="E19" s="778">
        <f>D19-C19</f>
        <v>-21.282608695652172</v>
      </c>
      <c r="F19" s="778">
        <f>D19/C19*100</f>
        <v>63.927781871775977</v>
      </c>
      <c r="G19" s="773" t="s">
        <v>961</v>
      </c>
    </row>
    <row r="20" spans="1:12" x14ac:dyDescent="0.25">
      <c r="A20" s="382"/>
      <c r="B20" s="1137" t="s">
        <v>52</v>
      </c>
      <c r="C20" s="1137"/>
      <c r="D20" s="1137"/>
      <c r="E20" s="1137"/>
      <c r="F20" s="1137"/>
      <c r="G20" s="1138"/>
    </row>
    <row r="21" spans="1:12" s="951" customFormat="1" ht="31.5" x14ac:dyDescent="0.25">
      <c r="A21" s="966"/>
      <c r="B21" s="771" t="s">
        <v>196</v>
      </c>
      <c r="C21" s="778">
        <f>'фін-ня ІІІ кварта 2019 року'!E14</f>
        <v>4794.6899999999996</v>
      </c>
      <c r="D21" s="778">
        <f>'фін-ня ІІІ кварта 2019 року'!I14</f>
        <v>2846.97</v>
      </c>
      <c r="E21" s="778">
        <f>D21-C21</f>
        <v>-1947.7199999999998</v>
      </c>
      <c r="F21" s="778">
        <f>D21/C21*100</f>
        <v>59.377561427328985</v>
      </c>
      <c r="G21" s="443" t="s">
        <v>993</v>
      </c>
    </row>
    <row r="22" spans="1:12" s="951" customFormat="1" ht="47.25" x14ac:dyDescent="0.25">
      <c r="A22" s="966"/>
      <c r="B22" s="771" t="s">
        <v>204</v>
      </c>
      <c r="C22" s="778">
        <v>7300</v>
      </c>
      <c r="D22" s="778">
        <v>6468</v>
      </c>
      <c r="E22" s="778">
        <f>D22-C22</f>
        <v>-832</v>
      </c>
      <c r="F22" s="778">
        <f>D22/C22*100</f>
        <v>88.602739726027409</v>
      </c>
      <c r="G22" s="701" t="s">
        <v>962</v>
      </c>
    </row>
    <row r="23" spans="1:12" s="951" customFormat="1" ht="47.25" x14ac:dyDescent="0.25">
      <c r="A23" s="966"/>
      <c r="B23" s="771" t="s">
        <v>205</v>
      </c>
      <c r="C23" s="778">
        <f>C21/C22</f>
        <v>0.65680684931506839</v>
      </c>
      <c r="D23" s="778">
        <f>D21/D22</f>
        <v>0.44016233766233764</v>
      </c>
      <c r="E23" s="778">
        <f>D23-C23</f>
        <v>-0.21664451165273074</v>
      </c>
      <c r="F23" s="778">
        <f>D23/C23*100</f>
        <v>67.015491406849364</v>
      </c>
      <c r="G23" s="1004" t="s">
        <v>1052</v>
      </c>
    </row>
    <row r="24" spans="1:12" s="951" customFormat="1" ht="63" x14ac:dyDescent="0.25">
      <c r="A24" s="871"/>
      <c r="B24" s="771" t="s">
        <v>206</v>
      </c>
      <c r="C24" s="700">
        <v>70</v>
      </c>
      <c r="D24" s="778">
        <f>D22/14600*100</f>
        <v>44.301369863013704</v>
      </c>
      <c r="E24" s="778">
        <f>D24-C24</f>
        <v>-25.698630136986296</v>
      </c>
      <c r="F24" s="778">
        <f>D24/C24*100</f>
        <v>63.287671232876718</v>
      </c>
      <c r="G24" s="701" t="s">
        <v>1000</v>
      </c>
    </row>
    <row r="25" spans="1:12" ht="20.25" customHeight="1" x14ac:dyDescent="0.25">
      <c r="A25" s="205" t="s">
        <v>247</v>
      </c>
      <c r="B25" s="1154" t="s">
        <v>248</v>
      </c>
      <c r="C25" s="1155"/>
      <c r="D25" s="1137"/>
      <c r="E25" s="1137"/>
      <c r="F25" s="1137"/>
      <c r="G25" s="1138"/>
    </row>
    <row r="26" spans="1:12" s="951" customFormat="1" ht="63" x14ac:dyDescent="0.25">
      <c r="A26" s="967"/>
      <c r="B26" s="994" t="s">
        <v>517</v>
      </c>
      <c r="C26" s="700">
        <f>'фін-ня ІІІ кварта 2019 року'!E15</f>
        <v>550</v>
      </c>
      <c r="D26" s="778">
        <f>'фін-ня ІІІ кварта 2019 року'!I15</f>
        <v>3911.59</v>
      </c>
      <c r="E26" s="1065">
        <f>D26-C26</f>
        <v>3361.59</v>
      </c>
      <c r="F26" s="778">
        <f>D26/C26*100</f>
        <v>711.19818181818187</v>
      </c>
      <c r="G26" s="443" t="s">
        <v>1012</v>
      </c>
    </row>
    <row r="27" spans="1:12" s="951" customFormat="1" ht="47.25" x14ac:dyDescent="0.25">
      <c r="A27" s="967"/>
      <c r="B27" s="994" t="s">
        <v>874</v>
      </c>
      <c r="C27" s="700">
        <v>50</v>
      </c>
      <c r="D27" s="778">
        <f>(D12+D17+D22)*100/80500</f>
        <v>60.847204968944098</v>
      </c>
      <c r="E27" s="778">
        <f>D27-C27</f>
        <v>10.847204968944098</v>
      </c>
      <c r="F27" s="778">
        <f>D27/C27*100</f>
        <v>121.69440993788821</v>
      </c>
      <c r="G27" s="773" t="s">
        <v>749</v>
      </c>
    </row>
    <row r="28" spans="1:12" x14ac:dyDescent="0.25">
      <c r="A28" s="205" t="s">
        <v>253</v>
      </c>
      <c r="B28" s="1259" t="s">
        <v>54</v>
      </c>
      <c r="C28" s="1260"/>
      <c r="D28" s="1261"/>
      <c r="E28" s="1260"/>
      <c r="F28" s="1260"/>
      <c r="G28" s="1262"/>
    </row>
    <row r="29" spans="1:12" s="951" customFormat="1" ht="117.75" customHeight="1" x14ac:dyDescent="0.25">
      <c r="A29" s="967"/>
      <c r="B29" s="994" t="s">
        <v>875</v>
      </c>
      <c r="C29" s="700">
        <v>4</v>
      </c>
      <c r="D29" s="778">
        <v>4</v>
      </c>
      <c r="E29" s="778">
        <f>D29-C29</f>
        <v>0</v>
      </c>
      <c r="F29" s="778">
        <f>D29/C29*100</f>
        <v>100</v>
      </c>
      <c r="G29" s="764" t="s">
        <v>963</v>
      </c>
    </row>
    <row r="30" spans="1:12" s="951" customFormat="1" ht="47.25" x14ac:dyDescent="0.25">
      <c r="A30" s="967"/>
      <c r="B30" s="994" t="s">
        <v>877</v>
      </c>
      <c r="C30" s="700">
        <v>67</v>
      </c>
      <c r="D30" s="778">
        <f>(D12+D17+D22)/80500*100</f>
        <v>60.847204968944105</v>
      </c>
      <c r="E30" s="778">
        <f>D30-C30</f>
        <v>-6.152795031055895</v>
      </c>
      <c r="F30" s="778">
        <f>D30/C30*100</f>
        <v>90.816723834244925</v>
      </c>
      <c r="G30" s="701" t="s">
        <v>964</v>
      </c>
    </row>
    <row r="31" spans="1:12" x14ac:dyDescent="0.25">
      <c r="A31" s="212" t="s">
        <v>66</v>
      </c>
      <c r="B31" s="1154" t="s">
        <v>55</v>
      </c>
      <c r="C31" s="1155"/>
      <c r="D31" s="1155"/>
      <c r="E31" s="1155"/>
      <c r="F31" s="1155"/>
      <c r="G31" s="1156"/>
    </row>
    <row r="32" spans="1:12" x14ac:dyDescent="0.25">
      <c r="A32" s="212"/>
      <c r="B32" s="771" t="s">
        <v>196</v>
      </c>
      <c r="C32" s="778">
        <f>'фін-ня ІІІ кварта 2019 року'!E17</f>
        <v>1860</v>
      </c>
      <c r="D32" s="778">
        <f>'фін-ня ІІІ кварта 2019 року'!I17</f>
        <v>695.68</v>
      </c>
      <c r="E32" s="778">
        <f>D32-C32</f>
        <v>-1164.3200000000002</v>
      </c>
      <c r="F32" s="778">
        <f>D32/C32*100</f>
        <v>37.402150537634405</v>
      </c>
      <c r="G32" s="773" t="s">
        <v>945</v>
      </c>
    </row>
    <row r="33" spans="1:10" s="951" customFormat="1" ht="149.25" customHeight="1" x14ac:dyDescent="0.25">
      <c r="A33" s="964"/>
      <c r="B33" s="771" t="s">
        <v>207</v>
      </c>
      <c r="C33" s="778">
        <v>4</v>
      </c>
      <c r="D33" s="778">
        <v>4</v>
      </c>
      <c r="E33" s="778">
        <f>D33-C33</f>
        <v>0</v>
      </c>
      <c r="F33" s="778">
        <f>D33/C33*100</f>
        <v>100</v>
      </c>
      <c r="G33" s="773" t="s">
        <v>1013</v>
      </c>
    </row>
    <row r="34" spans="1:10" s="951" customFormat="1" ht="126" x14ac:dyDescent="0.25">
      <c r="A34" s="964"/>
      <c r="B34" s="771" t="s">
        <v>208</v>
      </c>
      <c r="C34" s="778">
        <f>C32/C33</f>
        <v>465</v>
      </c>
      <c r="D34" s="778">
        <f>D32/D33</f>
        <v>173.92</v>
      </c>
      <c r="E34" s="778">
        <f>D34-C34</f>
        <v>-291.08000000000004</v>
      </c>
      <c r="F34" s="778">
        <f>D34/C34*100</f>
        <v>37.402150537634405</v>
      </c>
      <c r="G34" s="773" t="s">
        <v>1014</v>
      </c>
    </row>
    <row r="35" spans="1:10" s="951" customFormat="1" ht="63" x14ac:dyDescent="0.25">
      <c r="A35" s="968"/>
      <c r="B35" s="771" t="s">
        <v>209</v>
      </c>
      <c r="C35" s="700">
        <v>50</v>
      </c>
      <c r="D35" s="778">
        <f>(D22+D17+D12)/80500*100</f>
        <v>60.847204968944105</v>
      </c>
      <c r="E35" s="778">
        <f>D35-C35</f>
        <v>10.847204968944105</v>
      </c>
      <c r="F35" s="778">
        <f>D35/C35*100</f>
        <v>121.69440993788821</v>
      </c>
      <c r="G35" s="764" t="s">
        <v>972</v>
      </c>
    </row>
    <row r="36" spans="1:10" x14ac:dyDescent="0.25">
      <c r="A36" s="208" t="s">
        <v>256</v>
      </c>
      <c r="B36" s="1136" t="s">
        <v>56</v>
      </c>
      <c r="C36" s="1137"/>
      <c r="D36" s="1137"/>
      <c r="E36" s="1137"/>
      <c r="F36" s="1137"/>
      <c r="G36" s="1138"/>
    </row>
    <row r="37" spans="1:10" s="951" customFormat="1" ht="81" customHeight="1" x14ac:dyDescent="0.25">
      <c r="A37" s="969"/>
      <c r="B37" s="774" t="s">
        <v>196</v>
      </c>
      <c r="C37" s="700">
        <f>'фін-ня ІІІ кварта 2019 року'!E18</f>
        <v>3901.61</v>
      </c>
      <c r="D37" s="700">
        <f>'фін-ня ІІІ кварта 2019 року'!I18</f>
        <v>2.0299999999999998</v>
      </c>
      <c r="E37" s="778">
        <f>D37-C37</f>
        <v>-3899.58</v>
      </c>
      <c r="F37" s="778">
        <f>D37/C37*100</f>
        <v>5.2029803081292077E-2</v>
      </c>
      <c r="G37" s="773" t="s">
        <v>955</v>
      </c>
    </row>
    <row r="38" spans="1:10" s="951" customFormat="1" ht="43.5" customHeight="1" x14ac:dyDescent="0.25">
      <c r="A38" s="964"/>
      <c r="B38" s="774" t="s">
        <v>954</v>
      </c>
      <c r="C38" s="700">
        <v>980</v>
      </c>
      <c r="D38" s="777">
        <v>420</v>
      </c>
      <c r="E38" s="778">
        <f>D38-C38</f>
        <v>-560</v>
      </c>
      <c r="F38" s="778">
        <f>D38/C38*100</f>
        <v>42.857142857142854</v>
      </c>
      <c r="G38" s="773" t="s">
        <v>995</v>
      </c>
    </row>
    <row r="39" spans="1:10" s="951" customFormat="1" ht="73.5" customHeight="1" x14ac:dyDescent="0.25">
      <c r="A39" s="964"/>
      <c r="B39" s="774" t="s">
        <v>880</v>
      </c>
      <c r="C39" s="700">
        <f>C37/C38</f>
        <v>3.9812346938775511</v>
      </c>
      <c r="D39" s="777">
        <f>D37/D38</f>
        <v>4.8333333333333327E-3</v>
      </c>
      <c r="E39" s="778">
        <f>D39-C39</f>
        <v>-3.9764013605442177</v>
      </c>
      <c r="F39" s="778">
        <f>D39/C39*100</f>
        <v>0.12140287385634817</v>
      </c>
      <c r="G39" s="773" t="s">
        <v>1015</v>
      </c>
    </row>
    <row r="40" spans="1:10" s="951" customFormat="1" ht="66.75" customHeight="1" x14ac:dyDescent="0.25">
      <c r="A40" s="968"/>
      <c r="B40" s="774" t="s">
        <v>882</v>
      </c>
      <c r="C40" s="700">
        <v>20</v>
      </c>
      <c r="D40" s="779">
        <f>D38*100/32200</f>
        <v>1.3043478260869565</v>
      </c>
      <c r="E40" s="778">
        <f>D40-C40</f>
        <v>-18.695652173913043</v>
      </c>
      <c r="F40" s="778">
        <f>D40/C40*100</f>
        <v>6.5217391304347823</v>
      </c>
      <c r="G40" s="193" t="s">
        <v>1016</v>
      </c>
    </row>
    <row r="41" spans="1:10" x14ac:dyDescent="0.25">
      <c r="A41" s="872" t="s">
        <v>261</v>
      </c>
      <c r="B41" s="1136" t="s">
        <v>57</v>
      </c>
      <c r="C41" s="1137"/>
      <c r="D41" s="1137"/>
      <c r="E41" s="1137"/>
      <c r="F41" s="1137"/>
      <c r="G41" s="1138"/>
    </row>
    <row r="42" spans="1:10" x14ac:dyDescent="0.25">
      <c r="A42" s="212"/>
      <c r="B42" s="774" t="s">
        <v>196</v>
      </c>
      <c r="C42" s="700">
        <f>'фін-ня ІІІ кварта 2019 року'!E19</f>
        <v>635</v>
      </c>
      <c r="D42" s="778">
        <f>'фін-ня ІІІ кварта 2019 року'!I19</f>
        <v>79.55</v>
      </c>
      <c r="E42" s="778">
        <f>D42-C42</f>
        <v>-555.45000000000005</v>
      </c>
      <c r="F42" s="778">
        <f>D42/C42*100</f>
        <v>12.527559055118109</v>
      </c>
      <c r="G42" s="442" t="s">
        <v>659</v>
      </c>
    </row>
    <row r="43" spans="1:10" s="951" customFormat="1" ht="78.75" x14ac:dyDescent="0.25">
      <c r="A43" s="964"/>
      <c r="B43" s="774" t="s">
        <v>883</v>
      </c>
      <c r="C43" s="700">
        <v>225</v>
      </c>
      <c r="D43" s="778">
        <v>128</v>
      </c>
      <c r="E43" s="778">
        <f>D43-C43</f>
        <v>-97</v>
      </c>
      <c r="F43" s="778">
        <f>D43/C43*100</f>
        <v>56.888888888888886</v>
      </c>
      <c r="G43" s="773" t="s">
        <v>1017</v>
      </c>
    </row>
    <row r="44" spans="1:10" s="951" customFormat="1" ht="63" x14ac:dyDescent="0.25">
      <c r="A44" s="964"/>
      <c r="B44" s="774" t="s">
        <v>884</v>
      </c>
      <c r="C44" s="700">
        <f>C42/C43</f>
        <v>2.8222222222222224</v>
      </c>
      <c r="D44" s="778">
        <f>D42/D43</f>
        <v>0.62148437499999998</v>
      </c>
      <c r="E44" s="778">
        <f>D44-C44</f>
        <v>-2.2007378472222223</v>
      </c>
      <c r="F44" s="778">
        <f>D44/C44*100</f>
        <v>22.0210999015748</v>
      </c>
      <c r="G44" s="773" t="s">
        <v>601</v>
      </c>
    </row>
    <row r="45" spans="1:10" s="951" customFormat="1" ht="78.75" x14ac:dyDescent="0.25">
      <c r="A45" s="968"/>
      <c r="B45" s="774" t="s">
        <v>885</v>
      </c>
      <c r="C45" s="700">
        <v>75</v>
      </c>
      <c r="D45" s="778">
        <f>D43/140*100</f>
        <v>91.428571428571431</v>
      </c>
      <c r="E45" s="778">
        <f>D45-C45</f>
        <v>16.428571428571431</v>
      </c>
      <c r="F45" s="778">
        <f>D45/C45*100</f>
        <v>121.90476190476191</v>
      </c>
      <c r="G45" s="773" t="s">
        <v>996</v>
      </c>
    </row>
    <row r="46" spans="1:10" x14ac:dyDescent="0.25">
      <c r="A46" s="208" t="s">
        <v>265</v>
      </c>
      <c r="B46" s="1136" t="s">
        <v>415</v>
      </c>
      <c r="C46" s="1137"/>
      <c r="D46" s="1137"/>
      <c r="E46" s="1137"/>
      <c r="F46" s="1137"/>
      <c r="G46" s="1138"/>
    </row>
    <row r="47" spans="1:10" s="953" customFormat="1" ht="52.5" customHeight="1" x14ac:dyDescent="0.25">
      <c r="A47" s="212"/>
      <c r="B47" s="774" t="s">
        <v>196</v>
      </c>
      <c r="C47" s="700">
        <f>'фін-ня ІІІ кварта 2019 року'!E20</f>
        <v>1752</v>
      </c>
      <c r="D47" s="700">
        <f>'фін-ня ІІІ кварта 2019 року'!I20</f>
        <v>2154.4</v>
      </c>
      <c r="E47" s="700">
        <f>D47-C47</f>
        <v>402.40000000000009</v>
      </c>
      <c r="F47" s="700">
        <f>D47/C47*100</f>
        <v>122.96803652968038</v>
      </c>
      <c r="G47" s="773" t="s">
        <v>1019</v>
      </c>
      <c r="I47" s="1007"/>
      <c r="J47" s="1008"/>
    </row>
    <row r="48" spans="1:10" s="953" customFormat="1" ht="47.25" x14ac:dyDescent="0.25">
      <c r="A48" s="208"/>
      <c r="B48" s="553" t="s">
        <v>416</v>
      </c>
      <c r="C48" s="700">
        <v>5</v>
      </c>
      <c r="D48" s="700">
        <v>16</v>
      </c>
      <c r="E48" s="700">
        <f>D48-C48</f>
        <v>11</v>
      </c>
      <c r="F48" s="700">
        <f>D48/C48*100</f>
        <v>320</v>
      </c>
      <c r="G48" s="773" t="s">
        <v>965</v>
      </c>
      <c r="I48" s="1008"/>
    </row>
    <row r="49" spans="1:10" s="953" customFormat="1" ht="47.25" x14ac:dyDescent="0.25">
      <c r="A49" s="208"/>
      <c r="B49" s="553" t="s">
        <v>417</v>
      </c>
      <c r="C49" s="700">
        <f>C47/C48</f>
        <v>350.4</v>
      </c>
      <c r="D49" s="700">
        <f>D47/D48</f>
        <v>134.65</v>
      </c>
      <c r="E49" s="700">
        <f>D49-C49</f>
        <v>-215.74999999999997</v>
      </c>
      <c r="F49" s="700">
        <f>D49/C49*100</f>
        <v>38.427511415525117</v>
      </c>
      <c r="G49" s="773" t="s">
        <v>1019</v>
      </c>
    </row>
    <row r="50" spans="1:10" s="951" customFormat="1" ht="94.5" x14ac:dyDescent="0.25">
      <c r="A50" s="964"/>
      <c r="B50" s="553" t="s">
        <v>418</v>
      </c>
      <c r="C50" s="700">
        <v>8</v>
      </c>
      <c r="D50" s="700">
        <v>6</v>
      </c>
      <c r="E50" s="700">
        <f>D50-C50</f>
        <v>-2</v>
      </c>
      <c r="F50" s="700">
        <f>D50/C50*100</f>
        <v>75</v>
      </c>
      <c r="G50" s="773" t="s">
        <v>1018</v>
      </c>
      <c r="J50" s="952"/>
    </row>
    <row r="51" spans="1:10" x14ac:dyDescent="0.25">
      <c r="A51" s="208"/>
      <c r="B51" s="702" t="s">
        <v>419</v>
      </c>
      <c r="C51" s="194"/>
      <c r="D51" s="194"/>
      <c r="E51" s="194"/>
      <c r="F51" s="194"/>
      <c r="G51" s="773"/>
    </row>
    <row r="52" spans="1:10" ht="47.25" x14ac:dyDescent="0.25">
      <c r="A52" s="382"/>
      <c r="B52" s="553" t="s">
        <v>420</v>
      </c>
      <c r="C52" s="700">
        <f>'фін-ня ІІІ кварта 2019 року'!E20</f>
        <v>1752</v>
      </c>
      <c r="D52" s="700">
        <f>'фін-ня ІІІ кварта 2019 року'!I24</f>
        <v>2154.4</v>
      </c>
      <c r="E52" s="700">
        <f t="shared" ref="E52:E58" si="0">D52-C52</f>
        <v>402.40000000000009</v>
      </c>
      <c r="F52" s="700">
        <f>D52/C52*100</f>
        <v>122.96803652968038</v>
      </c>
      <c r="G52" s="773" t="s">
        <v>1020</v>
      </c>
    </row>
    <row r="53" spans="1:10" s="951" customFormat="1" ht="31.5" x14ac:dyDescent="0.25">
      <c r="A53" s="964"/>
      <c r="B53" s="782" t="s">
        <v>421</v>
      </c>
      <c r="C53" s="700">
        <v>1700</v>
      </c>
      <c r="D53" s="700">
        <v>1191</v>
      </c>
      <c r="E53" s="700">
        <f t="shared" si="0"/>
        <v>-509</v>
      </c>
      <c r="F53" s="700">
        <f>D53/C53*100</f>
        <v>70.058823529411768</v>
      </c>
      <c r="G53" s="773" t="s">
        <v>997</v>
      </c>
    </row>
    <row r="54" spans="1:10" s="951" customFormat="1" ht="31.5" x14ac:dyDescent="0.25">
      <c r="A54" s="964"/>
      <c r="B54" s="782" t="s">
        <v>422</v>
      </c>
      <c r="C54" s="700">
        <v>1400</v>
      </c>
      <c r="D54" s="700">
        <v>572</v>
      </c>
      <c r="E54" s="700">
        <f t="shared" si="0"/>
        <v>-828</v>
      </c>
      <c r="F54" s="700">
        <f>D54/C54*100</f>
        <v>40.857142857142861</v>
      </c>
      <c r="G54" s="773" t="s">
        <v>997</v>
      </c>
    </row>
    <row r="55" spans="1:10" s="951" customFormat="1" ht="31.5" x14ac:dyDescent="0.25">
      <c r="A55" s="964"/>
      <c r="B55" s="783" t="s">
        <v>423</v>
      </c>
      <c r="C55" s="700">
        <v>0</v>
      </c>
      <c r="D55" s="700">
        <v>391</v>
      </c>
      <c r="E55" s="700">
        <f t="shared" si="0"/>
        <v>391</v>
      </c>
      <c r="F55" s="700">
        <v>435</v>
      </c>
      <c r="G55" s="773" t="s">
        <v>997</v>
      </c>
    </row>
    <row r="56" spans="1:10" s="951" customFormat="1" ht="47.25" x14ac:dyDescent="0.25">
      <c r="A56" s="964"/>
      <c r="B56" s="783" t="s">
        <v>424</v>
      </c>
      <c r="C56" s="700">
        <v>300</v>
      </c>
      <c r="D56" s="700">
        <v>228</v>
      </c>
      <c r="E56" s="700">
        <f t="shared" si="0"/>
        <v>-72</v>
      </c>
      <c r="F56" s="700">
        <f>D56/C56*100</f>
        <v>76</v>
      </c>
      <c r="G56" s="193" t="s">
        <v>994</v>
      </c>
    </row>
    <row r="57" spans="1:10" s="951" customFormat="1" ht="31.5" x14ac:dyDescent="0.25">
      <c r="A57" s="964"/>
      <c r="B57" s="783" t="s">
        <v>425</v>
      </c>
      <c r="C57" s="700">
        <f>C52/C53</f>
        <v>1.0305882352941176</v>
      </c>
      <c r="D57" s="700">
        <f>D52/D53</f>
        <v>1.8089000839630562</v>
      </c>
      <c r="E57" s="700">
        <f t="shared" si="0"/>
        <v>0.77831184866893866</v>
      </c>
      <c r="F57" s="700">
        <f>D57/C57*100</f>
        <v>175.5211268685614</v>
      </c>
      <c r="G57" s="773" t="s">
        <v>1021</v>
      </c>
    </row>
    <row r="58" spans="1:10" s="951" customFormat="1" ht="78.75" x14ac:dyDescent="0.25">
      <c r="A58" s="968"/>
      <c r="B58" s="783" t="s">
        <v>426</v>
      </c>
      <c r="C58" s="700">
        <v>29</v>
      </c>
      <c r="D58" s="700">
        <f>D53/5782*100</f>
        <v>20.598408855067451</v>
      </c>
      <c r="E58" s="700">
        <f t="shared" si="0"/>
        <v>-8.4015911449325493</v>
      </c>
      <c r="F58" s="700">
        <f>D58/C58*100</f>
        <v>71.028996051956725</v>
      </c>
      <c r="G58" s="773" t="s">
        <v>1021</v>
      </c>
    </row>
    <row r="59" spans="1:10" x14ac:dyDescent="0.25">
      <c r="A59" s="382" t="s">
        <v>427</v>
      </c>
      <c r="B59" s="1136" t="s">
        <v>430</v>
      </c>
      <c r="C59" s="1137"/>
      <c r="D59" s="1137"/>
      <c r="E59" s="1137"/>
      <c r="F59" s="1137"/>
      <c r="G59" s="1138"/>
    </row>
    <row r="60" spans="1:10" ht="31.5" x14ac:dyDescent="0.25">
      <c r="A60" s="392"/>
      <c r="B60" s="774" t="s">
        <v>196</v>
      </c>
      <c r="C60" s="700">
        <f>'фін-ня ІІІ кварта 2019 року'!E25</f>
        <v>1714.58</v>
      </c>
      <c r="D60" s="778">
        <f>'фін-ня ІІІ кварта 2019 року'!I25</f>
        <v>682.75</v>
      </c>
      <c r="E60" s="777">
        <f>D60-C60</f>
        <v>-1031.83</v>
      </c>
      <c r="F60" s="778">
        <f>D60/C60*100</f>
        <v>39.820247524175016</v>
      </c>
      <c r="G60" s="326" t="s">
        <v>1022</v>
      </c>
    </row>
    <row r="61" spans="1:10" ht="31.5" x14ac:dyDescent="0.25">
      <c r="A61" s="382"/>
      <c r="B61" s="991" t="s">
        <v>72</v>
      </c>
      <c r="C61" s="700"/>
      <c r="D61" s="778"/>
      <c r="E61" s="778"/>
      <c r="F61" s="778"/>
      <c r="G61" s="874"/>
    </row>
    <row r="62" spans="1:10" s="951" customFormat="1" ht="31.5" x14ac:dyDescent="0.25">
      <c r="A62" s="964"/>
      <c r="B62" s="774" t="s">
        <v>888</v>
      </c>
      <c r="C62" s="700">
        <v>37500</v>
      </c>
      <c r="D62" s="778">
        <v>24086</v>
      </c>
      <c r="E62" s="777">
        <f>D62-C62</f>
        <v>-13414</v>
      </c>
      <c r="F62" s="778">
        <f>D62/C62*100</f>
        <v>64.229333333333344</v>
      </c>
      <c r="G62" s="701" t="s">
        <v>967</v>
      </c>
    </row>
    <row r="63" spans="1:10" s="951" customFormat="1" ht="47.25" x14ac:dyDescent="0.25">
      <c r="A63" s="964"/>
      <c r="B63" s="991" t="s">
        <v>73</v>
      </c>
      <c r="C63" s="1066"/>
      <c r="D63" s="1066"/>
      <c r="E63" s="1066"/>
      <c r="F63" s="1066"/>
      <c r="G63" s="714"/>
    </row>
    <row r="64" spans="1:10" s="951" customFormat="1" ht="89.25" customHeight="1" x14ac:dyDescent="0.25">
      <c r="A64" s="964"/>
      <c r="B64" s="783" t="s">
        <v>889</v>
      </c>
      <c r="C64" s="700">
        <v>300</v>
      </c>
      <c r="D64" s="778">
        <v>139</v>
      </c>
      <c r="E64" s="777">
        <f>D64-C64</f>
        <v>-161</v>
      </c>
      <c r="F64" s="778">
        <f>D64/C64*100</f>
        <v>46.333333333333329</v>
      </c>
      <c r="G64" s="701" t="s">
        <v>966</v>
      </c>
    </row>
    <row r="65" spans="1:10" s="951" customFormat="1" ht="47.25" x14ac:dyDescent="0.25">
      <c r="A65" s="964"/>
      <c r="B65" s="783" t="s">
        <v>890</v>
      </c>
      <c r="C65" s="778">
        <f>C60/C64</f>
        <v>5.7152666666666665</v>
      </c>
      <c r="D65" s="778">
        <f>D60/D64</f>
        <v>4.9118705035971226</v>
      </c>
      <c r="E65" s="777">
        <f>D65-C65</f>
        <v>-0.80339616306954387</v>
      </c>
      <c r="F65" s="778">
        <f>D65/C65*100</f>
        <v>85.942980268003637</v>
      </c>
      <c r="G65" s="193" t="s">
        <v>768</v>
      </c>
    </row>
    <row r="66" spans="1:10" ht="47.25" x14ac:dyDescent="0.25">
      <c r="A66" s="208"/>
      <c r="B66" s="991" t="s">
        <v>74</v>
      </c>
      <c r="C66" s="1066"/>
      <c r="D66" s="1066"/>
      <c r="E66" s="1066"/>
      <c r="F66" s="1066"/>
      <c r="G66" s="714"/>
    </row>
    <row r="67" spans="1:10" s="951" customFormat="1" ht="78.75" x14ac:dyDescent="0.25">
      <c r="A67" s="964"/>
      <c r="B67" s="783" t="s">
        <v>891</v>
      </c>
      <c r="C67" s="700">
        <v>300</v>
      </c>
      <c r="D67" s="778">
        <v>156</v>
      </c>
      <c r="E67" s="778">
        <f>D67-C67</f>
        <v>-144</v>
      </c>
      <c r="F67" s="778">
        <f>D67/C67*100</f>
        <v>52</v>
      </c>
      <c r="G67" s="701" t="s">
        <v>968</v>
      </c>
    </row>
    <row r="68" spans="1:10" s="951" customFormat="1" ht="126" x14ac:dyDescent="0.25">
      <c r="A68" s="968"/>
      <c r="B68" s="783" t="s">
        <v>892</v>
      </c>
      <c r="C68" s="700">
        <v>1.5</v>
      </c>
      <c r="D68" s="778">
        <v>1</v>
      </c>
      <c r="E68" s="778">
        <f>D68-C68</f>
        <v>-0.5</v>
      </c>
      <c r="F68" s="778">
        <f>D68/C68*100</f>
        <v>66.666666666666657</v>
      </c>
      <c r="G68" s="701" t="s">
        <v>1023</v>
      </c>
    </row>
    <row r="69" spans="1:10" x14ac:dyDescent="0.25">
      <c r="A69" s="208" t="s">
        <v>71</v>
      </c>
      <c r="B69" s="1228" t="s">
        <v>432</v>
      </c>
      <c r="C69" s="1229"/>
      <c r="D69" s="1229"/>
      <c r="E69" s="1229"/>
      <c r="F69" s="1229"/>
      <c r="G69" s="1230"/>
    </row>
    <row r="70" spans="1:10" x14ac:dyDescent="0.25">
      <c r="A70" s="392"/>
      <c r="B70" s="771" t="s">
        <v>517</v>
      </c>
      <c r="C70" s="700">
        <f>'фін-ня ІІІ кварта 2019 року'!E29</f>
        <v>450</v>
      </c>
      <c r="D70" s="778">
        <f>'фін-ня ІІІ кварта 2019 року'!I29</f>
        <v>170</v>
      </c>
      <c r="E70" s="778">
        <f>D70-C70</f>
        <v>-280</v>
      </c>
      <c r="F70" s="778">
        <f>D70/C70*100</f>
        <v>37.777777777777779</v>
      </c>
      <c r="G70" s="773" t="s">
        <v>969</v>
      </c>
    </row>
    <row r="71" spans="1:10" s="951" customFormat="1" ht="63" x14ac:dyDescent="0.25">
      <c r="A71" s="964"/>
      <c r="B71" s="771" t="s">
        <v>893</v>
      </c>
      <c r="C71" s="700">
        <v>180</v>
      </c>
      <c r="D71" s="778">
        <v>148</v>
      </c>
      <c r="E71" s="778">
        <f>C71-D71</f>
        <v>32</v>
      </c>
      <c r="F71" s="778">
        <f>D71/C71*100</f>
        <v>82.222222222222214</v>
      </c>
      <c r="G71" s="773" t="s">
        <v>1024</v>
      </c>
    </row>
    <row r="72" spans="1:10" s="951" customFormat="1" ht="31.5" x14ac:dyDescent="0.25">
      <c r="A72" s="208"/>
      <c r="B72" s="771" t="s">
        <v>894</v>
      </c>
      <c r="C72" s="700">
        <f>C70/C71</f>
        <v>2.5</v>
      </c>
      <c r="D72" s="778">
        <f>D70/D71</f>
        <v>1.1486486486486487</v>
      </c>
      <c r="E72" s="778">
        <f>D72-C72</f>
        <v>-1.3513513513513513</v>
      </c>
      <c r="F72" s="778">
        <f>D72/C72*100</f>
        <v>45.945945945945951</v>
      </c>
      <c r="G72" s="773" t="s">
        <v>1050</v>
      </c>
    </row>
    <row r="73" spans="1:10" s="951" customFormat="1" ht="47.25" x14ac:dyDescent="0.25">
      <c r="A73" s="847"/>
      <c r="B73" s="771" t="s">
        <v>895</v>
      </c>
      <c r="C73" s="700">
        <v>85</v>
      </c>
      <c r="D73" s="778">
        <v>82.2</v>
      </c>
      <c r="E73" s="778">
        <f>D73-C73</f>
        <v>-2.7999999999999972</v>
      </c>
      <c r="F73" s="778" t="s">
        <v>653</v>
      </c>
      <c r="G73" s="773" t="s">
        <v>1051</v>
      </c>
    </row>
    <row r="74" spans="1:10" x14ac:dyDescent="0.25">
      <c r="A74" s="378" t="s">
        <v>78</v>
      </c>
      <c r="B74" s="1133" t="s">
        <v>77</v>
      </c>
      <c r="C74" s="1134"/>
      <c r="D74" s="1134"/>
      <c r="E74" s="1134"/>
      <c r="F74" s="1134"/>
      <c r="G74" s="1135"/>
    </row>
    <row r="75" spans="1:10" x14ac:dyDescent="0.25">
      <c r="A75" s="272" t="s">
        <v>296</v>
      </c>
      <c r="B75" s="1136" t="s">
        <v>433</v>
      </c>
      <c r="C75" s="1137"/>
      <c r="D75" s="1137"/>
      <c r="E75" s="1137"/>
      <c r="F75" s="1137"/>
      <c r="G75" s="1138"/>
    </row>
    <row r="76" spans="1:10" ht="47.25" x14ac:dyDescent="0.25">
      <c r="A76" s="272"/>
      <c r="B76" s="774" t="s">
        <v>517</v>
      </c>
      <c r="C76" s="700">
        <f>'фін-ня ІІІ кварта 2019 року'!E31</f>
        <v>6627.86</v>
      </c>
      <c r="D76" s="700">
        <f>'фін-ня ІІІ кварта 2019 року'!I31</f>
        <v>10389.799999999999</v>
      </c>
      <c r="E76" s="700">
        <f>D76-C76</f>
        <v>3761.9399999999996</v>
      </c>
      <c r="F76" s="700">
        <f>D76/C76*100</f>
        <v>156.75949703222457</v>
      </c>
      <c r="G76" s="442" t="s">
        <v>1025</v>
      </c>
    </row>
    <row r="77" spans="1:10" s="951" customFormat="1" ht="63" x14ac:dyDescent="0.25">
      <c r="A77" s="997"/>
      <c r="B77" s="783" t="s">
        <v>726</v>
      </c>
      <c r="C77" s="700">
        <v>80000</v>
      </c>
      <c r="D77" s="700">
        <v>210626</v>
      </c>
      <c r="E77" s="700">
        <f t="shared" ref="E77:E91" si="1">D77-C77</f>
        <v>130626</v>
      </c>
      <c r="F77" s="700">
        <f t="shared" ref="F77:F91" si="2">D77/C77*100</f>
        <v>263.28249999999997</v>
      </c>
      <c r="G77" s="442" t="s">
        <v>984</v>
      </c>
      <c r="J77" s="998"/>
    </row>
    <row r="78" spans="1:10" s="951" customFormat="1" ht="47.25" x14ac:dyDescent="0.25">
      <c r="A78" s="997"/>
      <c r="B78" s="783" t="s">
        <v>727</v>
      </c>
      <c r="C78" s="700">
        <v>2640</v>
      </c>
      <c r="D78" s="700">
        <v>2295</v>
      </c>
      <c r="E78" s="700">
        <f t="shared" si="1"/>
        <v>-345</v>
      </c>
      <c r="F78" s="700">
        <f t="shared" si="2"/>
        <v>86.931818181818173</v>
      </c>
      <c r="G78" s="442" t="s">
        <v>985</v>
      </c>
    </row>
    <row r="79" spans="1:10" s="951" customFormat="1" ht="31.5" x14ac:dyDescent="0.25">
      <c r="A79" s="997"/>
      <c r="B79" s="783" t="s">
        <v>772</v>
      </c>
      <c r="C79" s="700">
        <f>C76/C78</f>
        <v>2.5105530303030301</v>
      </c>
      <c r="D79" s="700">
        <f>D76/D78</f>
        <v>4.5271459694989105</v>
      </c>
      <c r="E79" s="700">
        <f t="shared" si="1"/>
        <v>2.0165929391958803</v>
      </c>
      <c r="F79" s="700">
        <f t="shared" si="2"/>
        <v>180.32465018085966</v>
      </c>
      <c r="G79" s="773" t="s">
        <v>1026</v>
      </c>
    </row>
    <row r="80" spans="1:10" s="951" customFormat="1" ht="63" x14ac:dyDescent="0.25">
      <c r="A80" s="997"/>
      <c r="B80" s="553" t="s">
        <v>897</v>
      </c>
      <c r="C80" s="700">
        <v>3.3</v>
      </c>
      <c r="D80" s="700">
        <f>D78/D77*100</f>
        <v>1.0896090701053052</v>
      </c>
      <c r="E80" s="700">
        <f t="shared" si="1"/>
        <v>-2.2103909298946949</v>
      </c>
      <c r="F80" s="700">
        <f t="shared" si="2"/>
        <v>33.018456669857734</v>
      </c>
      <c r="G80" s="442" t="s">
        <v>986</v>
      </c>
    </row>
    <row r="81" spans="1:9" s="951" customFormat="1" ht="63" x14ac:dyDescent="0.25">
      <c r="A81" s="996"/>
      <c r="B81" s="552" t="s">
        <v>773</v>
      </c>
      <c r="C81" s="700">
        <v>81.2</v>
      </c>
      <c r="D81" s="700">
        <f>D115*100/19837</f>
        <v>71.618692342592126</v>
      </c>
      <c r="E81" s="700">
        <f t="shared" si="1"/>
        <v>-9.5813076574078764</v>
      </c>
      <c r="F81" s="700">
        <f t="shared" si="2"/>
        <v>88.200360027822811</v>
      </c>
      <c r="G81" s="442" t="s">
        <v>983</v>
      </c>
    </row>
    <row r="82" spans="1:9" x14ac:dyDescent="0.25">
      <c r="A82" s="274" t="s">
        <v>297</v>
      </c>
      <c r="B82" s="1136" t="s">
        <v>443</v>
      </c>
      <c r="C82" s="1137"/>
      <c r="D82" s="1137"/>
      <c r="E82" s="1137"/>
      <c r="F82" s="1137"/>
      <c r="G82" s="1138"/>
    </row>
    <row r="83" spans="1:9" s="951" customFormat="1" ht="31.5" x14ac:dyDescent="0.25">
      <c r="A83" s="272"/>
      <c r="B83" s="552" t="s">
        <v>899</v>
      </c>
      <c r="C83" s="700">
        <v>12</v>
      </c>
      <c r="D83" s="700">
        <v>0</v>
      </c>
      <c r="E83" s="700">
        <f t="shared" si="1"/>
        <v>-12</v>
      </c>
      <c r="F83" s="700">
        <f t="shared" si="2"/>
        <v>0</v>
      </c>
      <c r="G83" s="773" t="s">
        <v>691</v>
      </c>
    </row>
    <row r="84" spans="1:9" s="951" customFormat="1" ht="63" x14ac:dyDescent="0.25">
      <c r="A84" s="996"/>
      <c r="B84" s="552" t="s">
        <v>900</v>
      </c>
      <c r="C84" s="700">
        <v>0</v>
      </c>
      <c r="D84" s="1067">
        <v>0</v>
      </c>
      <c r="E84" s="700">
        <f t="shared" si="1"/>
        <v>0</v>
      </c>
      <c r="F84" s="700">
        <v>0</v>
      </c>
      <c r="G84" s="773" t="s">
        <v>691</v>
      </c>
    </row>
    <row r="85" spans="1:9" x14ac:dyDescent="0.25">
      <c r="A85" s="372" t="s">
        <v>298</v>
      </c>
      <c r="B85" s="1136" t="s">
        <v>446</v>
      </c>
      <c r="C85" s="1137"/>
      <c r="D85" s="1137"/>
      <c r="E85" s="1137"/>
      <c r="F85" s="1137"/>
      <c r="G85" s="1138"/>
    </row>
    <row r="86" spans="1:9" x14ac:dyDescent="0.25">
      <c r="A86" s="376"/>
      <c r="B86" s="774" t="s">
        <v>517</v>
      </c>
      <c r="C86" s="700">
        <f>'фін-ня ІІІ кварта 2019 року'!E33</f>
        <v>967.2</v>
      </c>
      <c r="D86" s="700">
        <f>'фін-ня ІІІ кварта 2019 року'!I33</f>
        <v>4823.67</v>
      </c>
      <c r="E86" s="700">
        <f>D86-C86</f>
        <v>3856.4700000000003</v>
      </c>
      <c r="F86" s="700">
        <f>D86/C86*100</f>
        <v>498.72518610421838</v>
      </c>
      <c r="G86" s="773" t="s">
        <v>400</v>
      </c>
      <c r="I86" s="326"/>
    </row>
    <row r="87" spans="1:9" s="951" customFormat="1" ht="114.75" customHeight="1" x14ac:dyDescent="0.25">
      <c r="A87" s="999"/>
      <c r="B87" s="774" t="s">
        <v>902</v>
      </c>
      <c r="C87" s="700">
        <v>5280</v>
      </c>
      <c r="D87" s="700">
        <v>1174</v>
      </c>
      <c r="E87" s="700">
        <f t="shared" si="1"/>
        <v>-4106</v>
      </c>
      <c r="F87" s="700">
        <f t="shared" si="2"/>
        <v>22.234848484848484</v>
      </c>
      <c r="G87" s="773" t="s">
        <v>987</v>
      </c>
    </row>
    <row r="88" spans="1:9" s="951" customFormat="1" ht="31.5" x14ac:dyDescent="0.25">
      <c r="A88" s="999"/>
      <c r="B88" s="774" t="s">
        <v>903</v>
      </c>
      <c r="C88" s="700">
        <f>C86/C87</f>
        <v>0.1831818181818182</v>
      </c>
      <c r="D88" s="700">
        <f>D86/D87</f>
        <v>4.1087478705281093</v>
      </c>
      <c r="E88" s="700" t="s">
        <v>653</v>
      </c>
      <c r="F88" s="700" t="s">
        <v>653</v>
      </c>
      <c r="G88" s="773" t="s">
        <v>970</v>
      </c>
    </row>
    <row r="89" spans="1:9" s="951" customFormat="1" ht="47.25" x14ac:dyDescent="0.25">
      <c r="A89" s="1000"/>
      <c r="B89" s="774" t="s">
        <v>904</v>
      </c>
      <c r="C89" s="700">
        <v>10</v>
      </c>
      <c r="D89" s="700">
        <f>D87/41557*100</f>
        <v>2.8250354934186777</v>
      </c>
      <c r="E89" s="700">
        <f t="shared" si="1"/>
        <v>-7.1749645065813219</v>
      </c>
      <c r="F89" s="700">
        <f t="shared" si="2"/>
        <v>28.250354934186777</v>
      </c>
      <c r="G89" s="773" t="s">
        <v>1027</v>
      </c>
    </row>
    <row r="90" spans="1:9" x14ac:dyDescent="0.25">
      <c r="A90" s="374" t="s">
        <v>299</v>
      </c>
      <c r="B90" s="1136" t="s">
        <v>447</v>
      </c>
      <c r="C90" s="1137"/>
      <c r="D90" s="1137"/>
      <c r="E90" s="1137"/>
      <c r="F90" s="1137"/>
      <c r="G90" s="1138"/>
    </row>
    <row r="91" spans="1:9" s="951" customFormat="1" ht="47.25" x14ac:dyDescent="0.25">
      <c r="A91" s="982"/>
      <c r="B91" s="994" t="s">
        <v>905</v>
      </c>
      <c r="C91" s="700">
        <v>15</v>
      </c>
      <c r="D91" s="700">
        <v>0</v>
      </c>
      <c r="E91" s="700">
        <f t="shared" si="1"/>
        <v>-15</v>
      </c>
      <c r="F91" s="700">
        <f t="shared" si="2"/>
        <v>0</v>
      </c>
      <c r="G91" s="773" t="s">
        <v>1028</v>
      </c>
    </row>
    <row r="92" spans="1:9" s="951" customFormat="1" ht="47.25" x14ac:dyDescent="0.25">
      <c r="A92" s="982"/>
      <c r="B92" s="994" t="s">
        <v>906</v>
      </c>
      <c r="C92" s="700" t="s">
        <v>653</v>
      </c>
      <c r="D92" s="700" t="s">
        <v>653</v>
      </c>
      <c r="E92" s="700" t="s">
        <v>653</v>
      </c>
      <c r="F92" s="700" t="s">
        <v>653</v>
      </c>
      <c r="G92" s="773" t="s">
        <v>694</v>
      </c>
    </row>
    <row r="93" spans="1:9" x14ac:dyDescent="0.25">
      <c r="A93" s="291" t="s">
        <v>306</v>
      </c>
      <c r="B93" s="1169" t="s">
        <v>448</v>
      </c>
      <c r="C93" s="1169"/>
      <c r="D93" s="1169"/>
      <c r="E93" s="1169"/>
      <c r="F93" s="1169"/>
      <c r="G93" s="1169"/>
    </row>
    <row r="94" spans="1:9" s="951" customFormat="1" x14ac:dyDescent="0.25">
      <c r="A94" s="392"/>
      <c r="B94" s="774" t="s">
        <v>673</v>
      </c>
      <c r="C94" s="700">
        <f>'фін-ня ІІІ кварта 2019 року'!E38</f>
        <v>38.25</v>
      </c>
      <c r="D94" s="700">
        <f>'фін-ня ІІІ кварта 2019 року'!I38</f>
        <v>1796</v>
      </c>
      <c r="E94" s="700">
        <f>D94-C94</f>
        <v>1757.75</v>
      </c>
      <c r="F94" s="700">
        <f>D94/C94*100</f>
        <v>4695.4248366013071</v>
      </c>
      <c r="G94" s="773" t="s">
        <v>400</v>
      </c>
    </row>
    <row r="95" spans="1:9" s="951" customFormat="1" x14ac:dyDescent="0.25">
      <c r="A95" s="381"/>
      <c r="B95" s="1138" t="s">
        <v>100</v>
      </c>
      <c r="C95" s="1169"/>
      <c r="D95" s="1169"/>
      <c r="E95" s="1169"/>
      <c r="F95" s="1169"/>
      <c r="G95" s="1169"/>
    </row>
    <row r="96" spans="1:9" s="951" customFormat="1" x14ac:dyDescent="0.25">
      <c r="A96" s="381"/>
      <c r="B96" s="783" t="s">
        <v>449</v>
      </c>
      <c r="C96" s="700">
        <f>'фін-ня І кварта 2019 року'!E39</f>
        <v>36.6</v>
      </c>
      <c r="D96" s="700">
        <v>0</v>
      </c>
      <c r="E96" s="700">
        <v>-36.6</v>
      </c>
      <c r="F96" s="700">
        <v>0</v>
      </c>
      <c r="G96" s="773" t="s">
        <v>400</v>
      </c>
    </row>
    <row r="97" spans="1:7" s="951" customFormat="1" ht="63" x14ac:dyDescent="0.25">
      <c r="A97" s="972"/>
      <c r="B97" s="783" t="s">
        <v>450</v>
      </c>
      <c r="C97" s="700">
        <v>30</v>
      </c>
      <c r="D97" s="700">
        <v>146</v>
      </c>
      <c r="E97" s="700">
        <f>D97-C97</f>
        <v>116</v>
      </c>
      <c r="F97" s="700">
        <f>D97/C97*100</f>
        <v>486.66666666666663</v>
      </c>
      <c r="G97" s="773" t="s">
        <v>990</v>
      </c>
    </row>
    <row r="98" spans="1:7" s="951" customFormat="1" ht="31.5" x14ac:dyDescent="0.25">
      <c r="A98" s="972"/>
      <c r="B98" s="783" t="s">
        <v>451</v>
      </c>
      <c r="C98" s="700">
        <v>1.22</v>
      </c>
      <c r="D98" s="700" t="s">
        <v>653</v>
      </c>
      <c r="E98" s="700" t="s">
        <v>653</v>
      </c>
      <c r="F98" s="700" t="s">
        <v>653</v>
      </c>
      <c r="G98" s="773" t="s">
        <v>946</v>
      </c>
    </row>
    <row r="99" spans="1:7" s="951" customFormat="1" ht="47.25" x14ac:dyDescent="0.25">
      <c r="A99" s="972"/>
      <c r="B99" s="783" t="s">
        <v>452</v>
      </c>
      <c r="C99" s="778">
        <v>90.7</v>
      </c>
      <c r="D99" s="778">
        <v>100</v>
      </c>
      <c r="E99" s="700">
        <f>D99-C99</f>
        <v>9.2999999999999972</v>
      </c>
      <c r="F99" s="700">
        <f>D99/C99*100</f>
        <v>110.25358324145533</v>
      </c>
      <c r="G99" s="773" t="s">
        <v>582</v>
      </c>
    </row>
    <row r="100" spans="1:7" s="846" customFormat="1" x14ac:dyDescent="0.25">
      <c r="A100" s="970"/>
      <c r="B100" s="1142" t="s">
        <v>101</v>
      </c>
      <c r="C100" s="1142"/>
      <c r="D100" s="1142"/>
      <c r="E100" s="1142"/>
      <c r="F100" s="1142"/>
      <c r="G100" s="1143"/>
    </row>
    <row r="101" spans="1:7" s="951" customFormat="1" x14ac:dyDescent="0.25">
      <c r="A101" s="972"/>
      <c r="B101" s="553" t="s">
        <v>453</v>
      </c>
      <c r="C101" s="778">
        <f>'фін-ня ІІІ кварта 2019 року'!E40</f>
        <v>38.25</v>
      </c>
      <c r="D101" s="778">
        <f>'фін-ня ІІІ кварта 2019 року'!I40</f>
        <v>1711.94</v>
      </c>
      <c r="E101" s="778">
        <f>D101-C101</f>
        <v>1673.69</v>
      </c>
      <c r="F101" s="778">
        <f>D101/C101*100</f>
        <v>4475.660130718954</v>
      </c>
      <c r="G101" s="773" t="s">
        <v>660</v>
      </c>
    </row>
    <row r="102" spans="1:7" s="951" customFormat="1" ht="78.75" x14ac:dyDescent="0.25">
      <c r="A102" s="972"/>
      <c r="B102" s="553" t="s">
        <v>454</v>
      </c>
      <c r="C102" s="778">
        <v>30</v>
      </c>
      <c r="D102" s="778">
        <v>814</v>
      </c>
      <c r="E102" s="778">
        <f>D102-C102</f>
        <v>784</v>
      </c>
      <c r="F102" s="778">
        <f>D102/C102*100</f>
        <v>2713.3333333333335</v>
      </c>
      <c r="G102" s="773" t="s">
        <v>989</v>
      </c>
    </row>
    <row r="103" spans="1:7" s="951" customFormat="1" ht="31.5" x14ac:dyDescent="0.25">
      <c r="A103" s="972"/>
      <c r="B103" s="553" t="s">
        <v>451</v>
      </c>
      <c r="C103" s="778">
        <f>C101/C102</f>
        <v>1.2749999999999999</v>
      </c>
      <c r="D103" s="778">
        <f>D101/D102</f>
        <v>2.1031203931203932</v>
      </c>
      <c r="E103" s="778">
        <f>D103-C103</f>
        <v>0.82812039312039332</v>
      </c>
      <c r="F103" s="778">
        <f>D103/C103*100</f>
        <v>164.95061906826615</v>
      </c>
      <c r="G103" s="773" t="s">
        <v>976</v>
      </c>
    </row>
    <row r="104" spans="1:7" s="951" customFormat="1" ht="63" x14ac:dyDescent="0.25">
      <c r="A104" s="971"/>
      <c r="B104" s="553" t="s">
        <v>581</v>
      </c>
      <c r="C104" s="778">
        <v>71.900000000000006</v>
      </c>
      <c r="D104" s="778">
        <v>100</v>
      </c>
      <c r="E104" s="778">
        <f>D104-C104</f>
        <v>28.099999999999994</v>
      </c>
      <c r="F104" s="778">
        <f>D104/C104*100</f>
        <v>139.08205841446454</v>
      </c>
      <c r="G104" s="773" t="s">
        <v>657</v>
      </c>
    </row>
    <row r="105" spans="1:7" x14ac:dyDescent="0.25">
      <c r="A105" s="585" t="s">
        <v>103</v>
      </c>
      <c r="B105" s="1133" t="s">
        <v>102</v>
      </c>
      <c r="C105" s="1134"/>
      <c r="D105" s="1134"/>
      <c r="E105" s="1134"/>
      <c r="F105" s="1134"/>
      <c r="G105" s="1135"/>
    </row>
    <row r="106" spans="1:7" x14ac:dyDescent="0.25">
      <c r="A106" s="212" t="s">
        <v>105</v>
      </c>
      <c r="B106" s="1136" t="s">
        <v>455</v>
      </c>
      <c r="C106" s="1137"/>
      <c r="D106" s="1137"/>
      <c r="E106" s="1137"/>
      <c r="F106" s="1137"/>
      <c r="G106" s="1138"/>
    </row>
    <row r="107" spans="1:7" ht="47.25" x14ac:dyDescent="0.25">
      <c r="A107" s="212"/>
      <c r="B107" s="984" t="s">
        <v>456</v>
      </c>
      <c r="C107" s="275"/>
      <c r="D107" s="275"/>
      <c r="E107" s="275"/>
      <c r="F107" s="275"/>
      <c r="G107" s="848"/>
    </row>
    <row r="108" spans="1:7" s="951" customFormat="1" ht="78.75" x14ac:dyDescent="0.25">
      <c r="A108" s="966"/>
      <c r="B108" s="783" t="s">
        <v>907</v>
      </c>
      <c r="C108" s="700">
        <f>'фін-ня І кварта 2019 року'!F42</f>
        <v>0</v>
      </c>
      <c r="D108" s="1067">
        <f>'фін-ня ІІІ кварта 2019 року'!J43</f>
        <v>0</v>
      </c>
      <c r="E108" s="700">
        <f t="shared" ref="E108:E116" si="3">D108-C108</f>
        <v>0</v>
      </c>
      <c r="F108" s="700">
        <v>0</v>
      </c>
      <c r="G108" s="773" t="s">
        <v>947</v>
      </c>
    </row>
    <row r="109" spans="1:7" s="951" customFormat="1" ht="47.25" x14ac:dyDescent="0.25">
      <c r="A109" s="382"/>
      <c r="B109" s="783" t="s">
        <v>909</v>
      </c>
      <c r="C109" s="700">
        <v>2640</v>
      </c>
      <c r="D109" s="1067">
        <v>2234</v>
      </c>
      <c r="E109" s="700">
        <f t="shared" si="3"/>
        <v>-406</v>
      </c>
      <c r="F109" s="700">
        <f t="shared" ref="F109:F116" si="4">D109/C109*100</f>
        <v>84.621212121212125</v>
      </c>
      <c r="G109" s="701" t="s">
        <v>1032</v>
      </c>
    </row>
    <row r="110" spans="1:7" s="951" customFormat="1" ht="94.5" x14ac:dyDescent="0.25">
      <c r="A110" s="966"/>
      <c r="B110" s="783" t="s">
        <v>910</v>
      </c>
      <c r="C110" s="700">
        <f>'фін-ня І кварта 2019 року'!G43</f>
        <v>747.42</v>
      </c>
      <c r="D110" s="700">
        <f>'фін-ня ІІІ кварта 2019 року'!K43</f>
        <v>0</v>
      </c>
      <c r="E110" s="700">
        <f t="shared" si="3"/>
        <v>-747.42</v>
      </c>
      <c r="F110" s="700"/>
      <c r="G110" s="773" t="s">
        <v>957</v>
      </c>
    </row>
    <row r="111" spans="1:7" s="951" customFormat="1" ht="47.25" x14ac:dyDescent="0.25">
      <c r="A111" s="382"/>
      <c r="B111" s="783" t="s">
        <v>911</v>
      </c>
      <c r="C111" s="700">
        <v>2640</v>
      </c>
      <c r="D111" s="700">
        <v>0</v>
      </c>
      <c r="E111" s="700">
        <f t="shared" si="3"/>
        <v>-2640</v>
      </c>
      <c r="F111" s="700">
        <f t="shared" si="4"/>
        <v>0</v>
      </c>
      <c r="G111" s="701" t="s">
        <v>1031</v>
      </c>
    </row>
    <row r="112" spans="1:7" s="951" customFormat="1" ht="78.75" x14ac:dyDescent="0.25">
      <c r="A112" s="964"/>
      <c r="B112" s="553" t="s">
        <v>912</v>
      </c>
      <c r="C112" s="700">
        <v>2400</v>
      </c>
      <c r="D112" s="700">
        <v>1249</v>
      </c>
      <c r="E112" s="700">
        <f t="shared" si="3"/>
        <v>-1151</v>
      </c>
      <c r="F112" s="700">
        <f t="shared" si="4"/>
        <v>52.041666666666664</v>
      </c>
      <c r="G112" s="701" t="s">
        <v>971</v>
      </c>
    </row>
    <row r="113" spans="1:7" s="951" customFormat="1" ht="47.25" x14ac:dyDescent="0.25">
      <c r="A113" s="964"/>
      <c r="B113" s="553" t="s">
        <v>913</v>
      </c>
      <c r="C113" s="700">
        <v>0.3</v>
      </c>
      <c r="D113" s="700">
        <f>(D108+D110)/D112</f>
        <v>0</v>
      </c>
      <c r="E113" s="700">
        <f t="shared" si="3"/>
        <v>-0.3</v>
      </c>
      <c r="F113" s="700">
        <f t="shared" si="4"/>
        <v>0</v>
      </c>
      <c r="G113" s="701" t="s">
        <v>1037</v>
      </c>
    </row>
    <row r="114" spans="1:7" s="951" customFormat="1" ht="31.5" x14ac:dyDescent="0.25">
      <c r="A114" s="964"/>
      <c r="B114" s="553" t="s">
        <v>733</v>
      </c>
      <c r="C114" s="700">
        <v>91</v>
      </c>
      <c r="D114" s="700">
        <f>D112/2295*100</f>
        <v>54.42265795206972</v>
      </c>
      <c r="E114" s="700">
        <f>D114-C114</f>
        <v>-36.57734204793028</v>
      </c>
      <c r="F114" s="700">
        <f>D114/C114*100</f>
        <v>59.805118628648046</v>
      </c>
      <c r="G114" s="701" t="s">
        <v>1038</v>
      </c>
    </row>
    <row r="115" spans="1:7" s="951" customFormat="1" ht="63" x14ac:dyDescent="0.25">
      <c r="A115" s="964"/>
      <c r="B115" s="553" t="s">
        <v>914</v>
      </c>
      <c r="C115" s="700">
        <v>18757</v>
      </c>
      <c r="D115" s="700">
        <v>14207</v>
      </c>
      <c r="E115" s="700">
        <f t="shared" si="3"/>
        <v>-4550</v>
      </c>
      <c r="F115" s="700">
        <f t="shared" si="4"/>
        <v>75.742389507917039</v>
      </c>
      <c r="G115" s="701" t="s">
        <v>977</v>
      </c>
    </row>
    <row r="116" spans="1:7" s="951" customFormat="1" ht="63" x14ac:dyDescent="0.25">
      <c r="A116" s="964"/>
      <c r="B116" s="553" t="s">
        <v>915</v>
      </c>
      <c r="C116" s="700">
        <v>81.2</v>
      </c>
      <c r="D116" s="700">
        <f>D115*100/19837</f>
        <v>71.618692342592126</v>
      </c>
      <c r="E116" s="700">
        <f t="shared" si="3"/>
        <v>-9.5813076574078764</v>
      </c>
      <c r="F116" s="700">
        <f t="shared" si="4"/>
        <v>88.200360027822811</v>
      </c>
      <c r="G116" s="701" t="s">
        <v>1036</v>
      </c>
    </row>
    <row r="117" spans="1:7" ht="63" x14ac:dyDescent="0.25">
      <c r="A117" s="208"/>
      <c r="B117" s="992" t="s">
        <v>466</v>
      </c>
      <c r="C117" s="700"/>
      <c r="D117" s="700"/>
      <c r="E117" s="700"/>
      <c r="F117" s="700"/>
      <c r="G117" s="701"/>
    </row>
    <row r="118" spans="1:7" s="951" customFormat="1" ht="47.25" x14ac:dyDescent="0.25">
      <c r="A118" s="964"/>
      <c r="B118" s="783" t="s">
        <v>916</v>
      </c>
      <c r="C118" s="700"/>
      <c r="D118" s="700">
        <v>592</v>
      </c>
      <c r="E118" s="700">
        <f>D118-C118</f>
        <v>592</v>
      </c>
      <c r="F118" s="700">
        <v>100</v>
      </c>
      <c r="G118" s="701" t="s">
        <v>605</v>
      </c>
    </row>
    <row r="119" spans="1:7" s="951" customFormat="1" ht="63" x14ac:dyDescent="0.25">
      <c r="A119" s="964"/>
      <c r="B119" s="783" t="s">
        <v>735</v>
      </c>
      <c r="C119" s="700">
        <v>90</v>
      </c>
      <c r="D119" s="700">
        <f>428/D118*100</f>
        <v>72.297297297297305</v>
      </c>
      <c r="E119" s="700">
        <f>D119-C119</f>
        <v>-17.702702702702695</v>
      </c>
      <c r="F119" s="700">
        <f>D119/C119*100</f>
        <v>80.330330330330341</v>
      </c>
      <c r="G119" s="701" t="s">
        <v>1039</v>
      </c>
    </row>
    <row r="120" spans="1:7" ht="31.5" x14ac:dyDescent="0.25">
      <c r="A120" s="208"/>
      <c r="B120" s="991" t="s">
        <v>569</v>
      </c>
      <c r="C120" s="700"/>
      <c r="D120" s="700"/>
      <c r="E120" s="700"/>
      <c r="F120" s="700"/>
      <c r="G120" s="701"/>
    </row>
    <row r="121" spans="1:7" s="951" customFormat="1" ht="63" x14ac:dyDescent="0.25">
      <c r="A121" s="208"/>
      <c r="B121" s="783" t="s">
        <v>737</v>
      </c>
      <c r="C121" s="700">
        <v>1584</v>
      </c>
      <c r="D121" s="700">
        <v>57</v>
      </c>
      <c r="E121" s="700">
        <f>D121-C121</f>
        <v>-1527</v>
      </c>
      <c r="F121" s="700">
        <f>D121/C121*100</f>
        <v>3.5984848484848486</v>
      </c>
      <c r="G121" s="122" t="s">
        <v>1035</v>
      </c>
    </row>
    <row r="122" spans="1:7" s="951" customFormat="1" ht="78.75" x14ac:dyDescent="0.25">
      <c r="A122" s="208"/>
      <c r="B122" s="553" t="s">
        <v>738</v>
      </c>
      <c r="C122" s="700">
        <v>60</v>
      </c>
      <c r="D122" s="700">
        <f>1646*100/13939</f>
        <v>11.808594590716694</v>
      </c>
      <c r="E122" s="700">
        <f>D122-C122</f>
        <v>-48.191405409283306</v>
      </c>
      <c r="F122" s="700">
        <f>D122/C122*100</f>
        <v>19.680990984527824</v>
      </c>
      <c r="G122" s="701" t="s">
        <v>1040</v>
      </c>
    </row>
    <row r="123" spans="1:7" ht="94.5" x14ac:dyDescent="0.25">
      <c r="A123" s="208"/>
      <c r="B123" s="702" t="s">
        <v>470</v>
      </c>
      <c r="C123" s="700"/>
      <c r="D123" s="700"/>
      <c r="E123" s="700"/>
      <c r="F123" s="700"/>
      <c r="G123" s="701"/>
    </row>
    <row r="124" spans="1:7" s="846" customFormat="1" ht="31.5" x14ac:dyDescent="0.25">
      <c r="A124" s="382" t="s">
        <v>953</v>
      </c>
      <c r="B124" s="783" t="s">
        <v>453</v>
      </c>
      <c r="C124" s="700">
        <f>'фін-ня ІІІ кварта 2019 року'!E46</f>
        <v>14880</v>
      </c>
      <c r="D124" s="700">
        <f>'фін-ня ІІІ кварта 2019 року'!I46</f>
        <v>1734.34</v>
      </c>
      <c r="E124" s="700">
        <f>D124-C124</f>
        <v>-13145.66</v>
      </c>
      <c r="F124" s="700">
        <f>D124/C124*100</f>
        <v>11.655510752688171</v>
      </c>
      <c r="G124" s="701" t="s">
        <v>1049</v>
      </c>
    </row>
    <row r="125" spans="1:7" s="951" customFormat="1" ht="78.75" x14ac:dyDescent="0.25">
      <c r="A125" s="966"/>
      <c r="B125" s="783" t="s">
        <v>918</v>
      </c>
      <c r="C125" s="700">
        <v>800</v>
      </c>
      <c r="D125" s="700">
        <v>548</v>
      </c>
      <c r="E125" s="700">
        <f>D125-C125</f>
        <v>-252</v>
      </c>
      <c r="F125" s="700">
        <f>D125/C125*100</f>
        <v>68.5</v>
      </c>
      <c r="G125" s="701" t="s">
        <v>988</v>
      </c>
    </row>
    <row r="126" spans="1:7" s="951" customFormat="1" ht="31.5" x14ac:dyDescent="0.25">
      <c r="A126" s="964"/>
      <c r="B126" s="783" t="s">
        <v>919</v>
      </c>
      <c r="C126" s="700">
        <v>21880</v>
      </c>
      <c r="D126" s="700">
        <f>D124/D125</f>
        <v>3.1648540145985402</v>
      </c>
      <c r="E126" s="700">
        <f>D126-C126</f>
        <v>-21876.835145985402</v>
      </c>
      <c r="F126" s="700">
        <f>D126/C126*100</f>
        <v>1.4464597872936656E-2</v>
      </c>
      <c r="G126" s="122" t="s">
        <v>1042</v>
      </c>
    </row>
    <row r="127" spans="1:7" s="951" customFormat="1" ht="47.25" x14ac:dyDescent="0.25">
      <c r="A127" s="964"/>
      <c r="B127" s="783" t="s">
        <v>743</v>
      </c>
      <c r="C127" s="700">
        <v>85</v>
      </c>
      <c r="D127" s="700">
        <f>D125/D87*100</f>
        <v>46.678023850085175</v>
      </c>
      <c r="E127" s="700">
        <f>D127-C127</f>
        <v>-38.321976149914825</v>
      </c>
      <c r="F127" s="700">
        <f>D127/C127*100</f>
        <v>54.91532217657079</v>
      </c>
      <c r="G127" s="701" t="s">
        <v>1034</v>
      </c>
    </row>
    <row r="128" spans="1:7" s="951" customFormat="1" ht="47.25" x14ac:dyDescent="0.25">
      <c r="A128" s="964"/>
      <c r="B128" s="984" t="s">
        <v>475</v>
      </c>
      <c r="C128" s="1066"/>
      <c r="D128" s="1066"/>
      <c r="E128" s="1066"/>
      <c r="F128" s="1066"/>
      <c r="G128" s="848"/>
    </row>
    <row r="129" spans="1:7" s="951" customFormat="1" ht="47.25" x14ac:dyDescent="0.25">
      <c r="A129" s="972"/>
      <c r="B129" s="783" t="s">
        <v>476</v>
      </c>
      <c r="C129" s="778">
        <v>1452</v>
      </c>
      <c r="D129" s="778">
        <v>26</v>
      </c>
      <c r="E129" s="778">
        <f>D129-C129</f>
        <v>-1426</v>
      </c>
      <c r="F129" s="778">
        <f>D129/C129*100</f>
        <v>1.7906336088154271</v>
      </c>
      <c r="G129" s="122" t="s">
        <v>1041</v>
      </c>
    </row>
    <row r="130" spans="1:7" s="951" customFormat="1" ht="47.25" x14ac:dyDescent="0.25">
      <c r="A130" s="971"/>
      <c r="B130" s="783" t="s">
        <v>477</v>
      </c>
      <c r="C130" s="778">
        <v>60</v>
      </c>
      <c r="D130" s="778">
        <f>26/1249*100</f>
        <v>2.0816653322658127</v>
      </c>
      <c r="E130" s="778">
        <f>D130-C130</f>
        <v>-57.918334667734186</v>
      </c>
      <c r="F130" s="778">
        <f>D130/C130*100</f>
        <v>3.4694422204430211</v>
      </c>
      <c r="G130" s="122" t="s">
        <v>1054</v>
      </c>
    </row>
    <row r="131" spans="1:7" s="951" customFormat="1" x14ac:dyDescent="0.25">
      <c r="A131" s="964" t="s">
        <v>329</v>
      </c>
      <c r="B131" s="1136" t="s">
        <v>478</v>
      </c>
      <c r="C131" s="1137"/>
      <c r="D131" s="1137"/>
      <c r="E131" s="1137"/>
      <c r="F131" s="1137"/>
      <c r="G131" s="1138"/>
    </row>
    <row r="132" spans="1:7" s="951" customFormat="1" ht="31.5" x14ac:dyDescent="0.25">
      <c r="A132" s="983"/>
      <c r="B132" s="553" t="s">
        <v>920</v>
      </c>
      <c r="C132" s="700">
        <f>'фін-ня ІІІ кварта 2019 року'!E48</f>
        <v>929.36</v>
      </c>
      <c r="D132" s="777">
        <f>'фін-ня ІІІ кварта 2019 року'!I48</f>
        <v>259.88499999999999</v>
      </c>
      <c r="E132" s="778">
        <f>D132-C132</f>
        <v>-669.47500000000002</v>
      </c>
      <c r="F132" s="778">
        <f>D132/C132*100</f>
        <v>27.963867607816127</v>
      </c>
      <c r="G132" s="773" t="s">
        <v>1044</v>
      </c>
    </row>
    <row r="133" spans="1:7" s="951" customFormat="1" ht="47.25" x14ac:dyDescent="0.25">
      <c r="A133" s="972"/>
      <c r="B133" s="553" t="s">
        <v>921</v>
      </c>
      <c r="C133" s="700">
        <v>720</v>
      </c>
      <c r="D133" s="777">
        <v>595</v>
      </c>
      <c r="E133" s="778">
        <f>D133-C133</f>
        <v>-125</v>
      </c>
      <c r="F133" s="778">
        <f>D133/C133*100</f>
        <v>82.638888888888886</v>
      </c>
      <c r="G133" s="773" t="s">
        <v>1002</v>
      </c>
    </row>
    <row r="134" spans="1:7" s="951" customFormat="1" ht="47.25" x14ac:dyDescent="0.25">
      <c r="A134" s="972"/>
      <c r="B134" s="553" t="s">
        <v>922</v>
      </c>
      <c r="C134" s="700">
        <f>C132/C133</f>
        <v>1.2907777777777778</v>
      </c>
      <c r="D134" s="777">
        <f>D132/D133</f>
        <v>0.436781512605042</v>
      </c>
      <c r="E134" s="778">
        <f>D134-C134</f>
        <v>-0.85399626517273575</v>
      </c>
      <c r="F134" s="778">
        <f>D134/C134*100</f>
        <v>33.838629710298513</v>
      </c>
      <c r="G134" s="773" t="s">
        <v>1026</v>
      </c>
    </row>
    <row r="135" spans="1:7" s="951" customFormat="1" ht="63" x14ac:dyDescent="0.25">
      <c r="A135" s="971"/>
      <c r="B135" s="553" t="s">
        <v>923</v>
      </c>
      <c r="C135" s="700">
        <v>30</v>
      </c>
      <c r="D135" s="777">
        <f>D133/D112*100</f>
        <v>47.638110488390708</v>
      </c>
      <c r="E135" s="778">
        <f>D135-C135</f>
        <v>17.638110488390708</v>
      </c>
      <c r="F135" s="778">
        <f>D135/C135*100</f>
        <v>158.79370162796903</v>
      </c>
      <c r="G135" s="773" t="s">
        <v>702</v>
      </c>
    </row>
    <row r="136" spans="1:7" s="846" customFormat="1" x14ac:dyDescent="0.25">
      <c r="A136" s="382" t="s">
        <v>333</v>
      </c>
      <c r="B136" s="1136" t="s">
        <v>114</v>
      </c>
      <c r="C136" s="1137"/>
      <c r="D136" s="1137"/>
      <c r="E136" s="1137"/>
      <c r="F136" s="1137"/>
      <c r="G136" s="1138"/>
    </row>
    <row r="137" spans="1:7" s="951" customFormat="1" ht="47.25" x14ac:dyDescent="0.25">
      <c r="A137" s="983"/>
      <c r="B137" s="774" t="s">
        <v>517</v>
      </c>
      <c r="C137" s="700">
        <f>'фін-ня ІІІ кварта 2019 року'!E49</f>
        <v>1746.78</v>
      </c>
      <c r="D137" s="778">
        <f>'фін-ня ІІІ кварта 2019 року'!I49</f>
        <v>137.99</v>
      </c>
      <c r="E137" s="778">
        <f>D137-C137</f>
        <v>-1608.79</v>
      </c>
      <c r="F137" s="778">
        <f>D137/C137*100</f>
        <v>7.8996782651507349</v>
      </c>
      <c r="G137" s="326" t="s">
        <v>1033</v>
      </c>
    </row>
    <row r="138" spans="1:7" s="951" customFormat="1" ht="31.5" x14ac:dyDescent="0.25">
      <c r="A138" s="972"/>
      <c r="B138" s="774" t="s">
        <v>925</v>
      </c>
      <c r="C138" s="700">
        <v>2400</v>
      </c>
      <c r="D138" s="778">
        <v>1249</v>
      </c>
      <c r="E138" s="778">
        <f>D138-C138</f>
        <v>-1151</v>
      </c>
      <c r="F138" s="778">
        <f>D138/C138*100</f>
        <v>52.041666666666664</v>
      </c>
      <c r="G138" s="773" t="s">
        <v>1043</v>
      </c>
    </row>
    <row r="139" spans="1:7" s="951" customFormat="1" ht="47.25" x14ac:dyDescent="0.25">
      <c r="A139" s="972"/>
      <c r="B139" s="774" t="s">
        <v>926</v>
      </c>
      <c r="C139" s="700">
        <f>C137/C138</f>
        <v>0.72782499999999994</v>
      </c>
      <c r="D139" s="700">
        <f>D137/D138</f>
        <v>0.11048038430744596</v>
      </c>
      <c r="E139" s="778">
        <f>D139-C139</f>
        <v>-0.61734461569255394</v>
      </c>
      <c r="F139" s="778">
        <f>D139/C139*100</f>
        <v>15.179525889801251</v>
      </c>
      <c r="G139" s="326" t="s">
        <v>1045</v>
      </c>
    </row>
    <row r="140" spans="1:7" s="951" customFormat="1" ht="63" x14ac:dyDescent="0.25">
      <c r="A140" s="971"/>
      <c r="B140" s="774" t="s">
        <v>927</v>
      </c>
      <c r="C140" s="700">
        <v>100</v>
      </c>
      <c r="D140" s="778">
        <v>100</v>
      </c>
      <c r="E140" s="778">
        <f>D140-C140</f>
        <v>0</v>
      </c>
      <c r="F140" s="778">
        <f>D140/C140*100</f>
        <v>100</v>
      </c>
      <c r="G140" s="773" t="s">
        <v>703</v>
      </c>
    </row>
    <row r="141" spans="1:7" s="846" customFormat="1" x14ac:dyDescent="0.25">
      <c r="A141" s="208" t="s">
        <v>339</v>
      </c>
      <c r="B141" s="1136" t="s">
        <v>486</v>
      </c>
      <c r="C141" s="1137"/>
      <c r="D141" s="1137"/>
      <c r="E141" s="1137"/>
      <c r="F141" s="1137"/>
      <c r="G141" s="1138"/>
    </row>
    <row r="142" spans="1:7" s="951" customFormat="1" ht="31.5" x14ac:dyDescent="0.25">
      <c r="A142" s="384"/>
      <c r="B142" s="774" t="s">
        <v>517</v>
      </c>
      <c r="C142" s="700">
        <f>'фін-ня ІІІ кварта 2019 року'!E55</f>
        <v>4817.51</v>
      </c>
      <c r="D142" s="778">
        <f>'фін-ня ІІІ кварта 2019 року'!I55</f>
        <v>4238.57</v>
      </c>
      <c r="E142" s="778">
        <f>D142-C142</f>
        <v>-578.94000000000051</v>
      </c>
      <c r="F142" s="778">
        <f>D142/C142*100</f>
        <v>87.982588515643968</v>
      </c>
      <c r="G142" s="773" t="s">
        <v>1048</v>
      </c>
    </row>
    <row r="143" spans="1:7" s="951" customFormat="1" x14ac:dyDescent="0.25">
      <c r="A143" s="382"/>
      <c r="B143" s="992" t="s">
        <v>124</v>
      </c>
      <c r="C143" s="1068"/>
      <c r="D143" s="1068"/>
      <c r="E143" s="219"/>
      <c r="F143" s="219"/>
      <c r="G143" s="848"/>
    </row>
    <row r="144" spans="1:7" s="951" customFormat="1" ht="31.5" x14ac:dyDescent="0.25">
      <c r="A144" s="972"/>
      <c r="B144" s="553" t="s">
        <v>488</v>
      </c>
      <c r="C144" s="700">
        <v>1500</v>
      </c>
      <c r="D144" s="778">
        <v>1062</v>
      </c>
      <c r="E144" s="778">
        <f t="shared" ref="E144:E154" si="5">D144-C144</f>
        <v>-438</v>
      </c>
      <c r="F144" s="778">
        <f t="shared" ref="F144:F154" si="6">D144/C144*100</f>
        <v>70.8</v>
      </c>
      <c r="G144" s="443" t="s">
        <v>1029</v>
      </c>
    </row>
    <row r="145" spans="1:7" s="951" customFormat="1" x14ac:dyDescent="0.25">
      <c r="A145" s="966"/>
      <c r="B145" s="702" t="s">
        <v>125</v>
      </c>
      <c r="C145" s="1069"/>
      <c r="D145" s="1069"/>
      <c r="E145" s="778"/>
      <c r="F145" s="778"/>
      <c r="G145" s="848"/>
    </row>
    <row r="146" spans="1:7" s="951" customFormat="1" ht="47.25" x14ac:dyDescent="0.25">
      <c r="A146" s="972"/>
      <c r="B146" s="553" t="s">
        <v>489</v>
      </c>
      <c r="C146" s="700">
        <v>750</v>
      </c>
      <c r="D146" s="778">
        <v>1789</v>
      </c>
      <c r="E146" s="778">
        <f t="shared" si="5"/>
        <v>1039</v>
      </c>
      <c r="F146" s="778">
        <f t="shared" si="6"/>
        <v>238.53333333333336</v>
      </c>
      <c r="G146" s="443" t="s">
        <v>1029</v>
      </c>
    </row>
    <row r="147" spans="1:7" s="951" customFormat="1" x14ac:dyDescent="0.25">
      <c r="A147" s="966"/>
      <c r="B147" s="702" t="s">
        <v>126</v>
      </c>
      <c r="C147" s="1069"/>
      <c r="D147" s="1069"/>
      <c r="E147" s="778"/>
      <c r="F147" s="778"/>
      <c r="G147" s="848"/>
    </row>
    <row r="148" spans="1:7" s="951" customFormat="1" ht="31.5" x14ac:dyDescent="0.25">
      <c r="A148" s="972"/>
      <c r="B148" s="553" t="s">
        <v>490</v>
      </c>
      <c r="C148" s="700">
        <v>55</v>
      </c>
      <c r="D148" s="778">
        <v>204</v>
      </c>
      <c r="E148" s="778">
        <f t="shared" si="5"/>
        <v>149</v>
      </c>
      <c r="F148" s="778">
        <f t="shared" si="6"/>
        <v>370.90909090909088</v>
      </c>
      <c r="G148" s="443" t="s">
        <v>1029</v>
      </c>
    </row>
    <row r="149" spans="1:7" s="951" customFormat="1" x14ac:dyDescent="0.25">
      <c r="A149" s="966"/>
      <c r="B149" s="702" t="s">
        <v>127</v>
      </c>
      <c r="C149" s="1069"/>
      <c r="D149" s="1069"/>
      <c r="E149" s="778"/>
      <c r="F149" s="778"/>
      <c r="G149" s="848"/>
    </row>
    <row r="150" spans="1:7" s="951" customFormat="1" ht="47.25" x14ac:dyDescent="0.25">
      <c r="A150" s="972"/>
      <c r="B150" s="553" t="s">
        <v>491</v>
      </c>
      <c r="C150" s="700">
        <v>55</v>
      </c>
      <c r="D150" s="778">
        <v>212</v>
      </c>
      <c r="E150" s="778">
        <f>D150-C150</f>
        <v>157</v>
      </c>
      <c r="F150" s="778">
        <f t="shared" si="6"/>
        <v>385.45454545454544</v>
      </c>
      <c r="G150" s="443" t="s">
        <v>1029</v>
      </c>
    </row>
    <row r="151" spans="1:7" s="951" customFormat="1" x14ac:dyDescent="0.25">
      <c r="A151" s="973"/>
      <c r="B151" s="992" t="s">
        <v>128</v>
      </c>
      <c r="C151" s="1070"/>
      <c r="D151" s="1071"/>
      <c r="E151" s="219"/>
      <c r="F151" s="219"/>
      <c r="G151" s="873"/>
    </row>
    <row r="152" spans="1:7" s="951" customFormat="1" ht="47.25" x14ac:dyDescent="0.25">
      <c r="A152" s="972"/>
      <c r="B152" s="771" t="s">
        <v>929</v>
      </c>
      <c r="C152" s="700">
        <v>318</v>
      </c>
      <c r="D152" s="778">
        <v>1447</v>
      </c>
      <c r="E152" s="778">
        <f>D152-C152</f>
        <v>1129</v>
      </c>
      <c r="F152" s="778">
        <f t="shared" si="6"/>
        <v>455.03144654088049</v>
      </c>
      <c r="G152" s="773" t="s">
        <v>973</v>
      </c>
    </row>
    <row r="153" spans="1:7" s="951" customFormat="1" ht="47.25" x14ac:dyDescent="0.25">
      <c r="A153" s="974"/>
      <c r="B153" s="771" t="s">
        <v>930</v>
      </c>
      <c r="C153" s="700">
        <f>C142/(C144+C146+C148+C150+C152)</f>
        <v>1.7989208364451084</v>
      </c>
      <c r="D153" s="778">
        <f>D142/(D144+D146+D148+D150+D152)</f>
        <v>0.89914509970301226</v>
      </c>
      <c r="E153" s="778">
        <f t="shared" si="5"/>
        <v>-0.8997757367420961</v>
      </c>
      <c r="F153" s="778">
        <f t="shared" si="6"/>
        <v>49.982471795692518</v>
      </c>
      <c r="G153" s="326" t="s">
        <v>1045</v>
      </c>
    </row>
    <row r="154" spans="1:7" s="951" customFormat="1" ht="63" x14ac:dyDescent="0.25">
      <c r="A154" s="975"/>
      <c r="B154" s="771" t="s">
        <v>721</v>
      </c>
      <c r="C154" s="700">
        <v>60</v>
      </c>
      <c r="D154" s="778">
        <f>3441/(D144+D146+D148+D150+D152)*100</f>
        <v>72.995333050487915</v>
      </c>
      <c r="E154" s="778">
        <f t="shared" si="5"/>
        <v>12.995333050487915</v>
      </c>
      <c r="F154" s="778">
        <f t="shared" si="6"/>
        <v>121.65888841747984</v>
      </c>
      <c r="G154" s="773" t="s">
        <v>1030</v>
      </c>
    </row>
    <row r="155" spans="1:7" s="951" customFormat="1" x14ac:dyDescent="0.25">
      <c r="A155" s="212" t="s">
        <v>343</v>
      </c>
      <c r="B155" s="1136" t="s">
        <v>495</v>
      </c>
      <c r="C155" s="1137"/>
      <c r="D155" s="1137"/>
      <c r="E155" s="1137"/>
      <c r="F155" s="1137"/>
      <c r="G155" s="1138"/>
    </row>
    <row r="156" spans="1:7" s="951" customFormat="1" x14ac:dyDescent="0.25">
      <c r="A156" s="384"/>
      <c r="B156" s="445" t="s">
        <v>517</v>
      </c>
      <c r="C156" s="203">
        <f>'фін-ня І кварта 2019 року'!E61</f>
        <v>250</v>
      </c>
      <c r="D156" s="219">
        <v>0</v>
      </c>
      <c r="E156" s="219">
        <v>-250</v>
      </c>
      <c r="F156" s="219">
        <f>D156/C156*100</f>
        <v>0</v>
      </c>
      <c r="G156" s="773" t="s">
        <v>400</v>
      </c>
    </row>
    <row r="157" spans="1:7" s="951" customFormat="1" ht="78.75" x14ac:dyDescent="0.25">
      <c r="A157" s="974"/>
      <c r="B157" s="774" t="s">
        <v>931</v>
      </c>
      <c r="C157" s="700">
        <v>40</v>
      </c>
      <c r="D157" s="778">
        <v>40</v>
      </c>
      <c r="E157" s="778">
        <f>D157-C157</f>
        <v>0</v>
      </c>
      <c r="F157" s="778">
        <f>D157/C157*100</f>
        <v>100</v>
      </c>
      <c r="G157" s="773" t="s">
        <v>978</v>
      </c>
    </row>
    <row r="158" spans="1:7" s="951" customFormat="1" ht="63" x14ac:dyDescent="0.25">
      <c r="A158" s="974"/>
      <c r="B158" s="774" t="s">
        <v>932</v>
      </c>
      <c r="C158" s="700">
        <f>C156/C157</f>
        <v>6.25</v>
      </c>
      <c r="D158" s="778">
        <f>D156/D157</f>
        <v>0</v>
      </c>
      <c r="E158" s="778">
        <f>D158-C158</f>
        <v>-6.25</v>
      </c>
      <c r="F158" s="778">
        <f>D158/C158*100</f>
        <v>0</v>
      </c>
      <c r="G158" s="773" t="s">
        <v>1046</v>
      </c>
    </row>
    <row r="159" spans="1:7" s="951" customFormat="1" ht="94.5" x14ac:dyDescent="0.25">
      <c r="A159" s="975"/>
      <c r="B159" s="774" t="s">
        <v>933</v>
      </c>
      <c r="C159" s="700">
        <v>100</v>
      </c>
      <c r="D159" s="778">
        <f>D157/40*100</f>
        <v>100</v>
      </c>
      <c r="E159" s="778">
        <f>D159-C159</f>
        <v>0</v>
      </c>
      <c r="F159" s="778">
        <f>D159/C159*100</f>
        <v>100</v>
      </c>
      <c r="G159" s="773" t="s">
        <v>979</v>
      </c>
    </row>
    <row r="160" spans="1:7" s="951" customFormat="1" x14ac:dyDescent="0.25">
      <c r="A160" s="586" t="s">
        <v>132</v>
      </c>
      <c r="B160" s="1139" t="s">
        <v>131</v>
      </c>
      <c r="C160" s="1140"/>
      <c r="D160" s="1140"/>
      <c r="E160" s="1134"/>
      <c r="F160" s="1134"/>
      <c r="G160" s="1135"/>
    </row>
    <row r="161" spans="1:7" s="951" customFormat="1" x14ac:dyDescent="0.25">
      <c r="A161" s="212" t="s">
        <v>135</v>
      </c>
      <c r="B161" s="1136" t="s">
        <v>499</v>
      </c>
      <c r="C161" s="1137"/>
      <c r="D161" s="1137"/>
      <c r="E161" s="1137"/>
      <c r="F161" s="1137"/>
      <c r="G161" s="1138"/>
    </row>
    <row r="162" spans="1:7" s="846" customFormat="1" x14ac:dyDescent="0.25">
      <c r="A162" s="392"/>
      <c r="B162" s="771" t="s">
        <v>196</v>
      </c>
      <c r="C162" s="1072">
        <f>'фін-ня І кварта 2019 року'!E63</f>
        <v>144144</v>
      </c>
      <c r="D162" s="700">
        <f>'фін-ня ІІІ кварта 2019 року'!I63</f>
        <v>47274.49</v>
      </c>
      <c r="E162" s="700">
        <f>D162-C162</f>
        <v>-96869.510000000009</v>
      </c>
      <c r="F162" s="700">
        <f>D162/C162*100</f>
        <v>32.796710234210231</v>
      </c>
      <c r="G162" s="773"/>
    </row>
    <row r="163" spans="1:7" s="846" customFormat="1" ht="63" x14ac:dyDescent="0.25">
      <c r="A163" s="208"/>
      <c r="B163" s="702" t="s">
        <v>500</v>
      </c>
      <c r="C163" s="1066"/>
      <c r="D163" s="1066"/>
      <c r="E163" s="700"/>
      <c r="F163" s="700"/>
      <c r="G163" s="848"/>
    </row>
    <row r="164" spans="1:7" s="951" customFormat="1" ht="94.5" x14ac:dyDescent="0.25">
      <c r="A164" s="972"/>
      <c r="B164" s="771" t="s">
        <v>501</v>
      </c>
      <c r="C164" s="778">
        <v>18204</v>
      </c>
      <c r="D164" s="778">
        <f>10418+924</f>
        <v>11342</v>
      </c>
      <c r="E164" s="700">
        <f>D164-C164</f>
        <v>-6862</v>
      </c>
      <c r="F164" s="700">
        <f t="shared" ref="F164:F172" si="7">D164/C164*100</f>
        <v>62.304987914744018</v>
      </c>
      <c r="G164" s="773" t="s">
        <v>980</v>
      </c>
    </row>
    <row r="165" spans="1:7" s="951" customFormat="1" ht="31.5" x14ac:dyDescent="0.25">
      <c r="A165" s="972"/>
      <c r="B165" s="771" t="s">
        <v>502</v>
      </c>
      <c r="C165" s="778">
        <v>2500</v>
      </c>
      <c r="D165" s="778">
        <v>1688</v>
      </c>
      <c r="E165" s="700">
        <f>D165-C165</f>
        <v>-812</v>
      </c>
      <c r="F165" s="700">
        <f t="shared" si="7"/>
        <v>67.52</v>
      </c>
      <c r="G165" s="773" t="s">
        <v>1010</v>
      </c>
    </row>
    <row r="166" spans="1:7" s="951" customFormat="1" ht="31.5" x14ac:dyDescent="0.25">
      <c r="A166" s="972"/>
      <c r="B166" s="771" t="s">
        <v>222</v>
      </c>
      <c r="C166" s="778">
        <f>C162/C164</f>
        <v>7.9182597231377718</v>
      </c>
      <c r="D166" s="778">
        <f>D162/D164</f>
        <v>4.1680911655792627</v>
      </c>
      <c r="E166" s="700">
        <f>D166-C166</f>
        <v>-3.7501685575585091</v>
      </c>
      <c r="F166" s="700">
        <f t="shared" si="7"/>
        <v>52.638980171359819</v>
      </c>
      <c r="G166" s="773" t="s">
        <v>1011</v>
      </c>
    </row>
    <row r="167" spans="1:7" s="951" customFormat="1" ht="63" x14ac:dyDescent="0.25">
      <c r="A167" s="972"/>
      <c r="B167" s="771" t="s">
        <v>503</v>
      </c>
      <c r="C167" s="778">
        <v>90</v>
      </c>
      <c r="D167" s="778">
        <f>D164/14207*100</f>
        <v>79.833884704723019</v>
      </c>
      <c r="E167" s="700">
        <f>D167-C167</f>
        <v>-10.166115295276981</v>
      </c>
      <c r="F167" s="700">
        <f t="shared" si="7"/>
        <v>88.704316338581137</v>
      </c>
      <c r="G167" s="773" t="s">
        <v>795</v>
      </c>
    </row>
    <row r="168" spans="1:7" s="846" customFormat="1" ht="47.25" x14ac:dyDescent="0.25">
      <c r="A168" s="209"/>
      <c r="B168" s="702" t="s">
        <v>504</v>
      </c>
      <c r="C168" s="1066"/>
      <c r="D168" s="1066"/>
      <c r="E168" s="700"/>
      <c r="F168" s="700"/>
      <c r="G168" s="848"/>
    </row>
    <row r="169" spans="1:7" s="951" customFormat="1" ht="47.25" x14ac:dyDescent="0.25">
      <c r="A169" s="974"/>
      <c r="B169" s="771" t="s">
        <v>505</v>
      </c>
      <c r="C169" s="778">
        <v>2000</v>
      </c>
      <c r="D169" s="778">
        <v>65</v>
      </c>
      <c r="E169" s="700">
        <f>D169-C169</f>
        <v>-1935</v>
      </c>
      <c r="F169" s="700">
        <f t="shared" si="7"/>
        <v>3.25</v>
      </c>
      <c r="G169" s="773" t="s">
        <v>981</v>
      </c>
    </row>
    <row r="170" spans="1:7" s="951" customFormat="1" ht="63" x14ac:dyDescent="0.25">
      <c r="A170" s="974"/>
      <c r="B170" s="771" t="s">
        <v>506</v>
      </c>
      <c r="C170" s="778">
        <v>70</v>
      </c>
      <c r="D170" s="778">
        <v>100</v>
      </c>
      <c r="E170" s="700">
        <f>D170-C170</f>
        <v>30</v>
      </c>
      <c r="F170" s="700">
        <f t="shared" si="7"/>
        <v>142.85714285714286</v>
      </c>
      <c r="G170" s="773" t="s">
        <v>1007</v>
      </c>
    </row>
    <row r="171" spans="1:7" s="846" customFormat="1" ht="31.5" x14ac:dyDescent="0.25">
      <c r="A171" s="209"/>
      <c r="B171" s="702" t="s">
        <v>507</v>
      </c>
      <c r="C171" s="778"/>
      <c r="D171" s="778"/>
      <c r="E171" s="700"/>
      <c r="F171" s="700"/>
      <c r="G171" s="773"/>
    </row>
    <row r="172" spans="1:7" s="951" customFormat="1" ht="31.5" x14ac:dyDescent="0.25">
      <c r="A172" s="974"/>
      <c r="B172" s="771" t="s">
        <v>508</v>
      </c>
      <c r="C172" s="778">
        <v>12789</v>
      </c>
      <c r="D172" s="778">
        <v>2863</v>
      </c>
      <c r="E172" s="700">
        <f>D172-C172</f>
        <v>-9926</v>
      </c>
      <c r="F172" s="700">
        <f t="shared" si="7"/>
        <v>22.386425834701697</v>
      </c>
      <c r="G172" s="773" t="s">
        <v>1009</v>
      </c>
    </row>
    <row r="173" spans="1:7" s="951" customFormat="1" ht="47.25" x14ac:dyDescent="0.25">
      <c r="A173" s="974"/>
      <c r="B173" s="713" t="s">
        <v>509</v>
      </c>
      <c r="C173" s="1073">
        <v>63</v>
      </c>
      <c r="D173" s="1073">
        <f>D172*100/D164</f>
        <v>25.24246164697584</v>
      </c>
      <c r="E173" s="700">
        <f>D173-C173</f>
        <v>-37.75753835302416</v>
      </c>
      <c r="F173" s="700">
        <f>D173/C173*100</f>
        <v>40.067399439644191</v>
      </c>
      <c r="G173" s="850" t="s">
        <v>948</v>
      </c>
    </row>
    <row r="174" spans="1:7" s="951" customFormat="1" x14ac:dyDescent="0.25">
      <c r="A174" s="205" t="s">
        <v>362</v>
      </c>
      <c r="B174" s="1136" t="s">
        <v>587</v>
      </c>
      <c r="C174" s="1137"/>
      <c r="D174" s="1137"/>
      <c r="E174" s="1137"/>
      <c r="F174" s="1137"/>
      <c r="G174" s="1138"/>
    </row>
    <row r="175" spans="1:7" s="951" customFormat="1" x14ac:dyDescent="0.25">
      <c r="A175" s="964"/>
      <c r="B175" s="985" t="s">
        <v>588</v>
      </c>
      <c r="C175" s="985"/>
      <c r="D175" s="985"/>
      <c r="E175" s="985"/>
      <c r="F175" s="985"/>
      <c r="G175" s="848"/>
    </row>
    <row r="176" spans="1:7" s="951" customFormat="1" x14ac:dyDescent="0.25">
      <c r="A176" s="974"/>
      <c r="B176" s="285" t="s">
        <v>590</v>
      </c>
      <c r="C176" s="1074">
        <f>'фін-ня І кварта 2019 року'!E67</f>
        <v>0</v>
      </c>
      <c r="D176" s="1074">
        <f>'фін-ня ІІІ кварта 2019 року'!I67</f>
        <v>0</v>
      </c>
      <c r="E176" s="203">
        <v>0</v>
      </c>
      <c r="F176" s="203">
        <v>0</v>
      </c>
      <c r="G176" s="850" t="s">
        <v>1006</v>
      </c>
    </row>
    <row r="177" spans="1:7" s="951" customFormat="1" ht="40.5" customHeight="1" x14ac:dyDescent="0.25">
      <c r="A177" s="974"/>
      <c r="B177" s="285" t="s">
        <v>591</v>
      </c>
      <c r="C177" s="1074">
        <v>0</v>
      </c>
      <c r="D177" s="1074">
        <v>0</v>
      </c>
      <c r="E177" s="203">
        <v>0</v>
      </c>
      <c r="F177" s="203">
        <v>0</v>
      </c>
      <c r="G177" s="850" t="s">
        <v>1008</v>
      </c>
    </row>
    <row r="178" spans="1:7" s="951" customFormat="1" ht="31.5" x14ac:dyDescent="0.25">
      <c r="A178" s="974"/>
      <c r="B178" s="285" t="s">
        <v>592</v>
      </c>
      <c r="C178" s="1074">
        <v>0</v>
      </c>
      <c r="D178" s="1074">
        <v>0</v>
      </c>
      <c r="E178" s="203">
        <v>0</v>
      </c>
      <c r="F178" s="203">
        <v>0</v>
      </c>
      <c r="G178" s="850" t="s">
        <v>1006</v>
      </c>
    </row>
    <row r="179" spans="1:7" s="951" customFormat="1" ht="31.5" x14ac:dyDescent="0.25">
      <c r="A179" s="974"/>
      <c r="B179" s="285" t="s">
        <v>593</v>
      </c>
      <c r="C179" s="1074">
        <v>0</v>
      </c>
      <c r="D179" s="1074">
        <v>0</v>
      </c>
      <c r="E179" s="203">
        <v>0</v>
      </c>
      <c r="F179" s="203">
        <v>0</v>
      </c>
      <c r="G179" s="850"/>
    </row>
    <row r="180" spans="1:7" s="951" customFormat="1" ht="37.5" customHeight="1" x14ac:dyDescent="0.25">
      <c r="A180" s="974"/>
      <c r="B180" s="990" t="s">
        <v>589</v>
      </c>
      <c r="C180" s="1074"/>
      <c r="D180" s="1074"/>
      <c r="E180" s="203"/>
      <c r="F180" s="203"/>
      <c r="G180" s="850"/>
    </row>
    <row r="181" spans="1:7" s="951" customFormat="1" x14ac:dyDescent="0.25">
      <c r="A181" s="974"/>
      <c r="B181" s="285" t="s">
        <v>594</v>
      </c>
      <c r="C181" s="1073">
        <f>'фін-ня І кварта 2019 року'!E67</f>
        <v>0</v>
      </c>
      <c r="D181" s="1073">
        <f>'фін-ня ІІІ кварта 2019 року'!I69</f>
        <v>0</v>
      </c>
      <c r="E181" s="700">
        <f>D181-C181</f>
        <v>0</v>
      </c>
      <c r="F181" s="700">
        <v>0</v>
      </c>
      <c r="G181" s="850" t="s">
        <v>1006</v>
      </c>
    </row>
    <row r="182" spans="1:7" s="951" customFormat="1" ht="31.5" x14ac:dyDescent="0.25">
      <c r="A182" s="974"/>
      <c r="B182" s="285" t="s">
        <v>595</v>
      </c>
      <c r="C182" s="1073">
        <v>0</v>
      </c>
      <c r="D182" s="1073">
        <v>0</v>
      </c>
      <c r="E182" s="700">
        <f>D182-C182</f>
        <v>0</v>
      </c>
      <c r="F182" s="700">
        <v>0</v>
      </c>
      <c r="G182" s="773"/>
    </row>
    <row r="183" spans="1:7" s="951" customFormat="1" ht="47.25" x14ac:dyDescent="0.25">
      <c r="A183" s="974"/>
      <c r="B183" s="285" t="s">
        <v>596</v>
      </c>
      <c r="C183" s="1073">
        <v>0</v>
      </c>
      <c r="D183" s="1073">
        <v>0</v>
      </c>
      <c r="E183" s="700">
        <f>D183-C183</f>
        <v>0</v>
      </c>
      <c r="F183" s="700">
        <v>0</v>
      </c>
      <c r="G183" s="773"/>
    </row>
    <row r="184" spans="1:7" s="951" customFormat="1" ht="31.5" x14ac:dyDescent="0.25">
      <c r="A184" s="974"/>
      <c r="B184" s="285" t="s">
        <v>597</v>
      </c>
      <c r="C184" s="1073">
        <v>100</v>
      </c>
      <c r="D184" s="1073">
        <v>0</v>
      </c>
      <c r="E184" s="700">
        <f>D184-C184</f>
        <v>-100</v>
      </c>
      <c r="F184" s="700">
        <f>D184/C184*100</f>
        <v>0</v>
      </c>
      <c r="G184" s="773"/>
    </row>
    <row r="185" spans="1:7" s="951" customFormat="1" x14ac:dyDescent="0.25">
      <c r="A185" s="205" t="s">
        <v>367</v>
      </c>
      <c r="B185" s="1136" t="s">
        <v>510</v>
      </c>
      <c r="C185" s="1137"/>
      <c r="D185" s="1137"/>
      <c r="E185" s="1137"/>
      <c r="F185" s="1137"/>
      <c r="G185" s="1138"/>
    </row>
    <row r="186" spans="1:7" s="951" customFormat="1" ht="31.5" x14ac:dyDescent="0.25">
      <c r="A186" s="972"/>
      <c r="B186" s="810" t="s">
        <v>516</v>
      </c>
      <c r="C186" s="1073">
        <f>'фін-ня І кварта 2019 року'!E70</f>
        <v>450</v>
      </c>
      <c r="D186" s="1073">
        <f>'фін-ня ІІІ кварта 2019 року'!I70</f>
        <v>0</v>
      </c>
      <c r="E186" s="1073">
        <f>D186-C186</f>
        <v>-450</v>
      </c>
      <c r="F186" s="1073">
        <f>D186/C186*100</f>
        <v>0</v>
      </c>
      <c r="G186" s="850" t="s">
        <v>958</v>
      </c>
    </row>
    <row r="187" spans="1:7" s="951" customFormat="1" ht="47.25" x14ac:dyDescent="0.25">
      <c r="A187" s="974"/>
      <c r="B187" s="810" t="s">
        <v>511</v>
      </c>
      <c r="C187" s="1073">
        <v>15</v>
      </c>
      <c r="D187" s="1073">
        <v>12</v>
      </c>
      <c r="E187" s="1073">
        <f>D187-C187</f>
        <v>-3</v>
      </c>
      <c r="F187" s="1073">
        <f>D187/C187*100</f>
        <v>80</v>
      </c>
      <c r="G187" s="773" t="s">
        <v>1047</v>
      </c>
    </row>
    <row r="188" spans="1:7" s="951" customFormat="1" ht="47.25" x14ac:dyDescent="0.25">
      <c r="A188" s="974"/>
      <c r="B188" s="810" t="s">
        <v>512</v>
      </c>
      <c r="C188" s="1073">
        <v>0.1</v>
      </c>
      <c r="D188" s="1073">
        <f>D186/D187</f>
        <v>0</v>
      </c>
      <c r="E188" s="1073">
        <f>D188-C188</f>
        <v>-0.1</v>
      </c>
      <c r="F188" s="1073">
        <f>D188/C188*100</f>
        <v>0</v>
      </c>
      <c r="G188" s="850" t="s">
        <v>606</v>
      </c>
    </row>
    <row r="189" spans="1:7" s="951" customFormat="1" ht="47.25" x14ac:dyDescent="0.25">
      <c r="A189" s="974"/>
      <c r="B189" s="810" t="s">
        <v>513</v>
      </c>
      <c r="C189" s="1073">
        <v>25</v>
      </c>
      <c r="D189" s="1073">
        <f>1204/10418*100</f>
        <v>11.556920714148589</v>
      </c>
      <c r="E189" s="1073">
        <f>D189-C189</f>
        <v>-13.443079285851411</v>
      </c>
      <c r="F189" s="1073">
        <f>D189/C189*100</f>
        <v>46.227682856594356</v>
      </c>
      <c r="G189" s="773" t="s">
        <v>1005</v>
      </c>
    </row>
    <row r="190" spans="1:7" s="846" customFormat="1" x14ac:dyDescent="0.25">
      <c r="A190" s="205" t="s">
        <v>514</v>
      </c>
      <c r="B190" s="1136" t="s">
        <v>515</v>
      </c>
      <c r="C190" s="1137"/>
      <c r="D190" s="1137"/>
      <c r="E190" s="1137"/>
      <c r="F190" s="1137"/>
      <c r="G190" s="1138"/>
    </row>
    <row r="191" spans="1:7" s="951" customFormat="1" x14ac:dyDescent="0.25">
      <c r="A191" s="381"/>
      <c r="B191" s="810" t="s">
        <v>517</v>
      </c>
      <c r="C191" s="1073">
        <f>'фін-ня І кварта 2019 року'!E71</f>
        <v>8341</v>
      </c>
      <c r="D191" s="1073">
        <f>'фін-ня ІІІ кварта 2019 року'!I71</f>
        <v>3084.5</v>
      </c>
      <c r="E191" s="1073">
        <f>D191-C191</f>
        <v>-5256.5</v>
      </c>
      <c r="F191" s="1073">
        <f>D191/C191*100</f>
        <v>36.97997841985373</v>
      </c>
      <c r="G191" s="850" t="s">
        <v>400</v>
      </c>
    </row>
    <row r="192" spans="1:7" s="951" customFormat="1" ht="63" x14ac:dyDescent="0.25">
      <c r="A192" s="972"/>
      <c r="B192" s="810" t="s">
        <v>518</v>
      </c>
      <c r="C192" s="1073">
        <v>12180</v>
      </c>
      <c r="D192" s="1073">
        <v>10213</v>
      </c>
      <c r="E192" s="1073">
        <f>D192-C192</f>
        <v>-1967</v>
      </c>
      <c r="F192" s="1073">
        <f>D192/C192*100</f>
        <v>83.850574712643677</v>
      </c>
      <c r="G192" s="850" t="s">
        <v>1004</v>
      </c>
    </row>
    <row r="193" spans="1:9" s="951" customFormat="1" ht="31.5" x14ac:dyDescent="0.25">
      <c r="A193" s="972"/>
      <c r="B193" s="810" t="s">
        <v>519</v>
      </c>
      <c r="C193" s="1073">
        <f>C191/C192</f>
        <v>0.68481116584564861</v>
      </c>
      <c r="D193" s="1073">
        <f>D191/D192</f>
        <v>0.30201703710956623</v>
      </c>
      <c r="E193" s="1073">
        <f>D193-C193</f>
        <v>-0.38279412873608237</v>
      </c>
      <c r="F193" s="1073">
        <f>D193/C193*100</f>
        <v>44.102236086734401</v>
      </c>
      <c r="G193" s="773" t="s">
        <v>1005</v>
      </c>
    </row>
    <row r="194" spans="1:9" s="951" customFormat="1" ht="63" x14ac:dyDescent="0.25">
      <c r="A194" s="972"/>
      <c r="B194" s="810" t="s">
        <v>520</v>
      </c>
      <c r="C194" s="1073">
        <v>60</v>
      </c>
      <c r="D194" s="1073">
        <f>D192/14207*100</f>
        <v>71.887097909481241</v>
      </c>
      <c r="E194" s="1073">
        <f>D194-C194</f>
        <v>11.887097909481241</v>
      </c>
      <c r="F194" s="1073">
        <f>D194/C194*100</f>
        <v>119.81182984913541</v>
      </c>
      <c r="G194" s="850" t="s">
        <v>982</v>
      </c>
    </row>
    <row r="195" spans="1:9" s="846" customFormat="1" x14ac:dyDescent="0.25">
      <c r="A195" s="291" t="s">
        <v>379</v>
      </c>
      <c r="B195" s="1136" t="s">
        <v>154</v>
      </c>
      <c r="C195" s="1137"/>
      <c r="D195" s="1137"/>
      <c r="E195" s="1137"/>
      <c r="F195" s="1137"/>
      <c r="G195" s="1138"/>
    </row>
    <row r="196" spans="1:9" s="846" customFormat="1" x14ac:dyDescent="0.25">
      <c r="A196" s="291"/>
      <c r="B196" s="994" t="s">
        <v>521</v>
      </c>
      <c r="C196" s="700">
        <f>'фін-ня І кварта 2019 року'!E72</f>
        <v>28581.610000000004</v>
      </c>
      <c r="D196" s="700">
        <f>'фін-ня ІІІ кварта 2019 року'!I73</f>
        <v>2733</v>
      </c>
      <c r="E196" s="700">
        <f>D196-C196</f>
        <v>-25848.610000000004</v>
      </c>
      <c r="F196" s="700">
        <f>D196/C196*100</f>
        <v>9.562092548320404</v>
      </c>
      <c r="G196" s="452"/>
    </row>
    <row r="197" spans="1:9" s="846" customFormat="1" x14ac:dyDescent="0.25">
      <c r="A197" s="205" t="s">
        <v>380</v>
      </c>
      <c r="B197" s="1141" t="s">
        <v>156</v>
      </c>
      <c r="C197" s="1142"/>
      <c r="D197" s="1142"/>
      <c r="E197" s="1142"/>
      <c r="F197" s="1142"/>
      <c r="G197" s="1143"/>
    </row>
    <row r="198" spans="1:9" s="846" customFormat="1" ht="31.5" x14ac:dyDescent="0.25">
      <c r="A198" s="235"/>
      <c r="B198" s="985" t="s">
        <v>522</v>
      </c>
      <c r="C198" s="985"/>
      <c r="D198" s="985"/>
      <c r="E198" s="985"/>
      <c r="F198" s="985"/>
      <c r="G198" s="848"/>
    </row>
    <row r="199" spans="1:9" s="951" customFormat="1" ht="47.25" x14ac:dyDescent="0.25">
      <c r="A199" s="235"/>
      <c r="B199" s="701" t="s">
        <v>523</v>
      </c>
      <c r="C199" s="700">
        <v>13600</v>
      </c>
      <c r="D199" s="700">
        <v>0</v>
      </c>
      <c r="E199" s="700">
        <f>D199-C199</f>
        <v>-13600</v>
      </c>
      <c r="F199" s="700">
        <f>D199/C199*100</f>
        <v>0</v>
      </c>
      <c r="G199" s="193" t="s">
        <v>1003</v>
      </c>
    </row>
    <row r="200" spans="1:9" s="951" customFormat="1" ht="47.25" x14ac:dyDescent="0.25">
      <c r="A200" s="235"/>
      <c r="B200" s="701" t="s">
        <v>524</v>
      </c>
      <c r="C200" s="700">
        <v>15000</v>
      </c>
      <c r="D200" s="700">
        <v>15890</v>
      </c>
      <c r="E200" s="700">
        <f t="shared" ref="E200:E210" si="8">D200-C200</f>
        <v>890</v>
      </c>
      <c r="F200" s="700">
        <f t="shared" ref="F200:F210" si="9">D200/C200*100</f>
        <v>105.93333333333332</v>
      </c>
      <c r="G200" s="773" t="s">
        <v>1002</v>
      </c>
    </row>
    <row r="201" spans="1:9" s="846" customFormat="1" x14ac:dyDescent="0.25">
      <c r="A201" s="235"/>
      <c r="B201" s="714" t="s">
        <v>525</v>
      </c>
      <c r="C201" s="1066"/>
      <c r="D201" s="700"/>
      <c r="E201" s="700"/>
      <c r="F201" s="700"/>
      <c r="G201" s="773"/>
    </row>
    <row r="202" spans="1:9" s="951" customFormat="1" ht="47.25" x14ac:dyDescent="0.25">
      <c r="A202" s="235"/>
      <c r="B202" s="875" t="s">
        <v>529</v>
      </c>
      <c r="C202" s="1075">
        <v>17500</v>
      </c>
      <c r="D202" s="700">
        <v>13237</v>
      </c>
      <c r="E202" s="700">
        <f t="shared" si="8"/>
        <v>-4263</v>
      </c>
      <c r="F202" s="700">
        <f t="shared" si="9"/>
        <v>75.64</v>
      </c>
      <c r="G202" s="452" t="s">
        <v>829</v>
      </c>
    </row>
    <row r="203" spans="1:9" s="846" customFormat="1" x14ac:dyDescent="0.25">
      <c r="A203" s="235"/>
      <c r="B203" s="714" t="s">
        <v>528</v>
      </c>
      <c r="C203" s="1066"/>
      <c r="D203" s="700"/>
      <c r="E203" s="700"/>
      <c r="F203" s="700"/>
      <c r="G203" s="773"/>
    </row>
    <row r="204" spans="1:9" s="951" customFormat="1" ht="47.25" x14ac:dyDescent="0.25">
      <c r="A204" s="235"/>
      <c r="B204" s="876" t="s">
        <v>530</v>
      </c>
      <c r="C204" s="1067">
        <v>40600</v>
      </c>
      <c r="D204" s="700">
        <v>11564</v>
      </c>
      <c r="E204" s="700">
        <f t="shared" si="8"/>
        <v>-29036</v>
      </c>
      <c r="F204" s="700">
        <f t="shared" si="9"/>
        <v>28.482758620689658</v>
      </c>
      <c r="G204" s="452" t="s">
        <v>829</v>
      </c>
    </row>
    <row r="205" spans="1:9" s="846" customFormat="1" x14ac:dyDescent="0.25">
      <c r="A205" s="235"/>
      <c r="B205" s="714" t="s">
        <v>526</v>
      </c>
      <c r="C205" s="1066"/>
      <c r="D205" s="700"/>
      <c r="E205" s="700"/>
      <c r="F205" s="700"/>
      <c r="G205" s="773"/>
    </row>
    <row r="206" spans="1:9" s="951" customFormat="1" ht="31.5" x14ac:dyDescent="0.25">
      <c r="A206" s="235"/>
      <c r="B206" s="876" t="s">
        <v>531</v>
      </c>
      <c r="C206" s="1067">
        <v>40600</v>
      </c>
      <c r="D206" s="700">
        <v>14543</v>
      </c>
      <c r="E206" s="700">
        <f t="shared" si="8"/>
        <v>-26057</v>
      </c>
      <c r="F206" s="700">
        <f t="shared" si="9"/>
        <v>35.820197044334975</v>
      </c>
      <c r="G206" s="773" t="s">
        <v>607</v>
      </c>
      <c r="I206" s="1043"/>
    </row>
    <row r="207" spans="1:9" s="846" customFormat="1" ht="31.5" x14ac:dyDescent="0.25">
      <c r="A207" s="235"/>
      <c r="B207" s="985" t="s">
        <v>527</v>
      </c>
      <c r="C207" s="1076"/>
      <c r="D207" s="1077"/>
      <c r="E207" s="1077"/>
      <c r="F207" s="1077"/>
      <c r="G207" s="773"/>
    </row>
    <row r="208" spans="1:9" s="951" customFormat="1" ht="47.25" x14ac:dyDescent="0.25">
      <c r="A208" s="235"/>
      <c r="B208" s="877" t="s">
        <v>532</v>
      </c>
      <c r="C208" s="1067">
        <v>1700</v>
      </c>
      <c r="D208" s="700">
        <v>5071</v>
      </c>
      <c r="E208" s="700">
        <f t="shared" si="8"/>
        <v>3371</v>
      </c>
      <c r="F208" s="700">
        <f t="shared" si="9"/>
        <v>298.29411764705884</v>
      </c>
      <c r="G208" s="773" t="s">
        <v>1002</v>
      </c>
    </row>
    <row r="209" spans="1:7" s="951" customFormat="1" ht="47.25" x14ac:dyDescent="0.25">
      <c r="A209" s="235"/>
      <c r="B209" s="986" t="s">
        <v>533</v>
      </c>
      <c r="C209" s="700">
        <v>1.55</v>
      </c>
      <c r="D209" s="700">
        <f>D196/D164</f>
        <v>0.24096279315817315</v>
      </c>
      <c r="E209" s="700">
        <f t="shared" si="8"/>
        <v>-1.3090372068418268</v>
      </c>
      <c r="F209" s="700">
        <f t="shared" si="9"/>
        <v>15.54598665536601</v>
      </c>
      <c r="G209" s="773" t="s">
        <v>1005</v>
      </c>
    </row>
    <row r="210" spans="1:7" s="951" customFormat="1" ht="63" x14ac:dyDescent="0.25">
      <c r="A210" s="980"/>
      <c r="B210" s="986" t="s">
        <v>534</v>
      </c>
      <c r="C210" s="700">
        <v>90</v>
      </c>
      <c r="D210" s="700">
        <v>90</v>
      </c>
      <c r="E210" s="700">
        <f t="shared" si="8"/>
        <v>0</v>
      </c>
      <c r="F210" s="700">
        <f t="shared" si="9"/>
        <v>100</v>
      </c>
      <c r="G210" s="773" t="s">
        <v>975</v>
      </c>
    </row>
    <row r="211" spans="1:7" s="846" customFormat="1" x14ac:dyDescent="0.25">
      <c r="A211" s="205" t="s">
        <v>159</v>
      </c>
      <c r="B211" s="1141" t="s">
        <v>535</v>
      </c>
      <c r="C211" s="1142"/>
      <c r="D211" s="1142"/>
      <c r="E211" s="1142"/>
      <c r="F211" s="1142"/>
      <c r="G211" s="1143"/>
    </row>
    <row r="212" spans="1:7" s="951" customFormat="1" ht="78.75" x14ac:dyDescent="0.25">
      <c r="A212" s="976"/>
      <c r="B212" s="774" t="s">
        <v>536</v>
      </c>
      <c r="C212" s="778">
        <v>1296</v>
      </c>
      <c r="D212" s="778">
        <v>1249</v>
      </c>
      <c r="E212" s="778">
        <f>D212-C212</f>
        <v>-47</v>
      </c>
      <c r="F212" s="778">
        <f>D212/C212*100</f>
        <v>96.373456790123456</v>
      </c>
      <c r="G212" s="850" t="s">
        <v>974</v>
      </c>
    </row>
    <row r="213" spans="1:7" s="951" customFormat="1" ht="78.75" x14ac:dyDescent="0.25">
      <c r="A213" s="975"/>
      <c r="B213" s="774" t="s">
        <v>537</v>
      </c>
      <c r="C213" s="778">
        <v>93</v>
      </c>
      <c r="D213" s="778">
        <v>100</v>
      </c>
      <c r="E213" s="778" t="s">
        <v>653</v>
      </c>
      <c r="F213" s="778" t="s">
        <v>653</v>
      </c>
      <c r="G213" s="701" t="s">
        <v>707</v>
      </c>
    </row>
    <row r="214" spans="1:7" s="951" customFormat="1" ht="39" customHeight="1" x14ac:dyDescent="0.25">
      <c r="A214" s="208" t="s">
        <v>384</v>
      </c>
      <c r="B214" s="1136" t="s">
        <v>538</v>
      </c>
      <c r="C214" s="1137"/>
      <c r="D214" s="1137"/>
      <c r="E214" s="1137"/>
      <c r="F214" s="1137"/>
      <c r="G214" s="1138"/>
    </row>
    <row r="215" spans="1:7" s="951" customFormat="1" x14ac:dyDescent="0.25">
      <c r="A215" s="977"/>
      <c r="B215" s="454" t="s">
        <v>517</v>
      </c>
      <c r="C215" s="203">
        <f>'фін-ня І кварта 2019 року'!E80</f>
        <v>288</v>
      </c>
      <c r="D215" s="219">
        <f>'фін-ня ІІІ кварта 2019 року'!I80</f>
        <v>0</v>
      </c>
      <c r="E215" s="219">
        <f>D215-C215</f>
        <v>-288</v>
      </c>
      <c r="F215" s="219">
        <f>D215/C215*100</f>
        <v>0</v>
      </c>
      <c r="G215" s="773" t="s">
        <v>660</v>
      </c>
    </row>
    <row r="216" spans="1:7" s="951" customFormat="1" ht="47.25" x14ac:dyDescent="0.25">
      <c r="A216" s="978"/>
      <c r="B216" s="454" t="s">
        <v>675</v>
      </c>
      <c r="C216" s="700">
        <v>5</v>
      </c>
      <c r="D216" s="778">
        <v>0</v>
      </c>
      <c r="E216" s="778">
        <f>D216-C216</f>
        <v>-5</v>
      </c>
      <c r="F216" s="778">
        <f>D216/C216*100</f>
        <v>0</v>
      </c>
      <c r="G216" s="1004" t="s">
        <v>1001</v>
      </c>
    </row>
    <row r="217" spans="1:7" s="951" customFormat="1" ht="31.5" x14ac:dyDescent="0.25">
      <c r="A217" s="978"/>
      <c r="B217" s="454" t="s">
        <v>676</v>
      </c>
      <c r="C217" s="700">
        <v>19.2</v>
      </c>
      <c r="D217" s="778">
        <v>0</v>
      </c>
      <c r="E217" s="778">
        <f>D217-C217</f>
        <v>-19.2</v>
      </c>
      <c r="F217" s="778">
        <f>D217/C217*100</f>
        <v>0</v>
      </c>
      <c r="G217" s="773"/>
    </row>
    <row r="218" spans="1:7" s="951" customFormat="1" ht="47.25" x14ac:dyDescent="0.25">
      <c r="A218" s="978"/>
      <c r="B218" s="454" t="s">
        <v>677</v>
      </c>
      <c r="C218" s="700">
        <v>21</v>
      </c>
      <c r="D218" s="778">
        <v>0</v>
      </c>
      <c r="E218" s="778">
        <f>D218-C218</f>
        <v>-21</v>
      </c>
      <c r="F218" s="778">
        <f>D218/C218*100</f>
        <v>0</v>
      </c>
      <c r="G218" s="773"/>
    </row>
    <row r="219" spans="1:7" s="951" customFormat="1" x14ac:dyDescent="0.25">
      <c r="A219" s="979" t="s">
        <v>163</v>
      </c>
      <c r="B219" s="1133" t="s">
        <v>539</v>
      </c>
      <c r="C219" s="1134"/>
      <c r="D219" s="1134"/>
      <c r="E219" s="1134"/>
      <c r="F219" s="1134"/>
      <c r="G219" s="1135"/>
    </row>
    <row r="220" spans="1:7" s="951" customFormat="1" ht="31.5" x14ac:dyDescent="0.25">
      <c r="A220" s="976"/>
      <c r="B220" s="774" t="s">
        <v>540</v>
      </c>
      <c r="C220" s="778">
        <v>21</v>
      </c>
      <c r="D220" s="778">
        <v>0</v>
      </c>
      <c r="E220" s="778">
        <f>D220-C220</f>
        <v>-21</v>
      </c>
      <c r="F220" s="778">
        <f>D220/C220*100</f>
        <v>0</v>
      </c>
      <c r="G220" s="773" t="s">
        <v>1009</v>
      </c>
    </row>
    <row r="221" spans="1:7" s="951" customFormat="1" ht="47.25" x14ac:dyDescent="0.25">
      <c r="A221" s="974"/>
      <c r="B221" s="774" t="s">
        <v>541</v>
      </c>
      <c r="C221" s="778">
        <v>100</v>
      </c>
      <c r="D221" s="778">
        <v>0</v>
      </c>
      <c r="E221" s="778">
        <f>D221-C221</f>
        <v>-100</v>
      </c>
      <c r="F221" s="778">
        <f>D221/C221*100</f>
        <v>0</v>
      </c>
      <c r="G221" s="773"/>
    </row>
    <row r="222" spans="1:7" s="951" customFormat="1" ht="47.25" x14ac:dyDescent="0.25">
      <c r="A222" s="975"/>
      <c r="B222" s="774" t="s">
        <v>236</v>
      </c>
      <c r="C222" s="778">
        <v>100</v>
      </c>
      <c r="D222" s="778">
        <v>0</v>
      </c>
      <c r="E222" s="778">
        <f>D222-C222</f>
        <v>-100</v>
      </c>
      <c r="F222" s="778">
        <f>D222/C222*100</f>
        <v>0</v>
      </c>
      <c r="G222" s="773"/>
    </row>
    <row r="223" spans="1:7" s="951" customFormat="1" x14ac:dyDescent="0.25">
      <c r="A223" s="851"/>
      <c r="B223" s="852"/>
      <c r="C223" s="853"/>
      <c r="D223" s="854"/>
      <c r="E223" s="854"/>
      <c r="F223" s="855"/>
      <c r="G223" s="993"/>
    </row>
    <row r="224" spans="1:7" x14ac:dyDescent="0.25">
      <c r="A224" s="851"/>
      <c r="B224" s="852"/>
      <c r="C224" s="853"/>
      <c r="D224" s="854"/>
      <c r="E224" s="854"/>
      <c r="F224" s="855"/>
      <c r="G224" s="993"/>
    </row>
    <row r="225" spans="1:12" ht="17.25" x14ac:dyDescent="0.25">
      <c r="A225" s="548"/>
      <c r="C225" s="1044" t="s">
        <v>1056</v>
      </c>
      <c r="D225"/>
      <c r="E225"/>
      <c r="F225"/>
      <c r="G225" s="1053" t="s">
        <v>1057</v>
      </c>
      <c r="I225" s="289"/>
      <c r="J225" s="289"/>
      <c r="K225" s="289"/>
      <c r="L225" s="289"/>
    </row>
    <row r="226" spans="1:12" x14ac:dyDescent="0.25">
      <c r="A226" s="548"/>
    </row>
    <row r="227" spans="1:12" x14ac:dyDescent="0.25">
      <c r="A227" s="548"/>
    </row>
    <row r="228" spans="1:12" x14ac:dyDescent="0.25">
      <c r="A228" s="548"/>
    </row>
    <row r="229" spans="1:12" x14ac:dyDescent="0.25">
      <c r="A229" s="548"/>
      <c r="B229" s="957"/>
    </row>
    <row r="230" spans="1:12" x14ac:dyDescent="0.25">
      <c r="A230" s="548"/>
      <c r="B230" s="957"/>
    </row>
    <row r="231" spans="1:12" x14ac:dyDescent="0.25">
      <c r="A231" s="548"/>
    </row>
    <row r="232" spans="1:12" x14ac:dyDescent="0.25">
      <c r="A232" s="548"/>
    </row>
    <row r="233" spans="1:12" x14ac:dyDescent="0.25">
      <c r="A233" s="548"/>
    </row>
    <row r="234" spans="1:12" x14ac:dyDescent="0.25">
      <c r="A234" s="548"/>
    </row>
    <row r="235" spans="1:12" x14ac:dyDescent="0.25">
      <c r="A235" s="548"/>
    </row>
    <row r="236" spans="1:12" ht="17.25" x14ac:dyDescent="0.25">
      <c r="A236" s="548"/>
      <c r="C236" s="1044"/>
      <c r="D236"/>
      <c r="E236"/>
      <c r="F236"/>
      <c r="G236" s="1053"/>
      <c r="I236" s="289"/>
      <c r="J236" s="289"/>
      <c r="K236" s="289"/>
      <c r="L236" s="289"/>
    </row>
    <row r="237" spans="1:12" x14ac:dyDescent="0.25">
      <c r="A237" s="548"/>
    </row>
    <row r="238" spans="1:12" x14ac:dyDescent="0.25">
      <c r="A238" s="548"/>
    </row>
    <row r="239" spans="1:12" x14ac:dyDescent="0.25">
      <c r="A239" s="548"/>
    </row>
    <row r="240" spans="1:12" x14ac:dyDescent="0.25">
      <c r="A240" s="548"/>
    </row>
    <row r="241" spans="1:1" x14ac:dyDescent="0.25">
      <c r="A241" s="548"/>
    </row>
    <row r="242" spans="1:1" x14ac:dyDescent="0.25">
      <c r="A242" s="548"/>
    </row>
    <row r="243" spans="1:1" x14ac:dyDescent="0.25">
      <c r="A243" s="548"/>
    </row>
    <row r="244" spans="1:1" x14ac:dyDescent="0.25">
      <c r="A244" s="548"/>
    </row>
    <row r="245" spans="1:1" x14ac:dyDescent="0.25">
      <c r="A245" s="548"/>
    </row>
    <row r="246" spans="1:1" x14ac:dyDescent="0.25">
      <c r="A246" s="548"/>
    </row>
    <row r="247" spans="1:1" x14ac:dyDescent="0.25">
      <c r="A247" s="548"/>
    </row>
    <row r="248" spans="1:1" x14ac:dyDescent="0.25">
      <c r="A248" s="548"/>
    </row>
    <row r="249" spans="1:1" x14ac:dyDescent="0.25">
      <c r="A249" s="548"/>
    </row>
    <row r="250" spans="1:1" x14ac:dyDescent="0.25">
      <c r="A250" s="548"/>
    </row>
    <row r="251" spans="1:1" x14ac:dyDescent="0.25">
      <c r="A251" s="548"/>
    </row>
    <row r="252" spans="1:1" x14ac:dyDescent="0.25">
      <c r="A252" s="548"/>
    </row>
    <row r="253" spans="1:1" x14ac:dyDescent="0.25">
      <c r="A253" s="548"/>
    </row>
    <row r="254" spans="1:1" x14ac:dyDescent="0.25">
      <c r="A254" s="548"/>
    </row>
    <row r="255" spans="1:1" x14ac:dyDescent="0.25">
      <c r="A255" s="548"/>
    </row>
    <row r="256" spans="1:1" x14ac:dyDescent="0.25">
      <c r="A256" s="548"/>
    </row>
    <row r="257" spans="1:7" x14ac:dyDescent="0.25">
      <c r="A257" s="548"/>
    </row>
    <row r="258" spans="1:7" x14ac:dyDescent="0.25">
      <c r="A258" s="548"/>
    </row>
    <row r="259" spans="1:7" x14ac:dyDescent="0.25">
      <c r="A259" s="548"/>
    </row>
    <row r="260" spans="1:7" x14ac:dyDescent="0.25">
      <c r="A260" s="548"/>
    </row>
    <row r="261" spans="1:7" x14ac:dyDescent="0.25">
      <c r="A261" s="548"/>
    </row>
    <row r="262" spans="1:7" x14ac:dyDescent="0.25">
      <c r="A262" s="548"/>
    </row>
    <row r="263" spans="1:7" x14ac:dyDescent="0.25">
      <c r="A263" s="548"/>
    </row>
    <row r="264" spans="1:7" x14ac:dyDescent="0.25">
      <c r="A264" s="548"/>
    </row>
    <row r="265" spans="1:7" s="1085" customFormat="1" x14ac:dyDescent="0.25">
      <c r="A265" s="1078"/>
      <c r="B265" s="1082"/>
      <c r="C265" s="1079"/>
      <c r="D265" s="1081"/>
      <c r="E265" s="1081"/>
      <c r="F265" s="1081"/>
      <c r="G265" s="1081"/>
    </row>
    <row r="266" spans="1:7" s="1085" customFormat="1" x14ac:dyDescent="0.25">
      <c r="A266" s="1078"/>
      <c r="B266" s="1082"/>
      <c r="C266" s="1079"/>
      <c r="D266" s="1081"/>
      <c r="E266" s="1081"/>
      <c r="F266" s="1081"/>
      <c r="G266" s="1081"/>
    </row>
    <row r="267" spans="1:7" s="1085" customFormat="1" ht="31.5" x14ac:dyDescent="0.25">
      <c r="A267" s="1078"/>
      <c r="B267" s="1043" t="s">
        <v>1058</v>
      </c>
      <c r="C267" s="1079"/>
      <c r="D267" s="1257"/>
      <c r="E267" s="1257"/>
      <c r="F267" s="1257" t="s">
        <v>1059</v>
      </c>
      <c r="G267" s="1257"/>
    </row>
    <row r="268" spans="1:7" s="1085" customFormat="1" ht="46.5" customHeight="1" x14ac:dyDescent="0.25">
      <c r="A268" s="1078"/>
      <c r="B268" s="1043"/>
      <c r="C268" s="1079"/>
      <c r="D268" s="1081"/>
      <c r="E268" s="1081"/>
      <c r="F268" s="1081"/>
      <c r="G268" s="1081"/>
    </row>
    <row r="269" spans="1:7" s="1085" customFormat="1" x14ac:dyDescent="0.25">
      <c r="A269" s="1078"/>
      <c r="B269" s="1043" t="s">
        <v>1060</v>
      </c>
      <c r="C269" s="1079"/>
      <c r="D269" s="1258"/>
      <c r="E269" s="1258"/>
      <c r="F269" s="1258" t="s">
        <v>1061</v>
      </c>
      <c r="G269" s="1258"/>
    </row>
    <row r="270" spans="1:7" s="1085" customFormat="1" ht="39.75" customHeight="1" x14ac:dyDescent="0.25">
      <c r="A270" s="1078"/>
      <c r="B270" s="1082"/>
      <c r="C270" s="1079"/>
      <c r="D270" s="1081"/>
      <c r="E270" s="1081"/>
      <c r="F270" s="1081"/>
      <c r="G270" s="1081"/>
    </row>
    <row r="271" spans="1:7" s="1085" customFormat="1" ht="31.5" x14ac:dyDescent="0.25">
      <c r="A271" s="1078"/>
      <c r="B271" s="1043" t="s">
        <v>1062</v>
      </c>
      <c r="C271" s="1079"/>
      <c r="D271" s="1257"/>
      <c r="E271" s="1257"/>
      <c r="F271" s="1257" t="s">
        <v>1063</v>
      </c>
      <c r="G271" s="1257"/>
    </row>
    <row r="272" spans="1:7" s="1085" customFormat="1" ht="39.75" customHeight="1" x14ac:dyDescent="0.25">
      <c r="A272" s="1078"/>
      <c r="B272" s="1043"/>
      <c r="C272" s="1079"/>
      <c r="D272" s="1081"/>
      <c r="E272" s="1081"/>
      <c r="F272" s="1081"/>
      <c r="G272" s="1081"/>
    </row>
    <row r="273" spans="1:7" s="1085" customFormat="1" ht="31.5" x14ac:dyDescent="0.25">
      <c r="A273" s="1078"/>
      <c r="B273" s="1043" t="s">
        <v>1064</v>
      </c>
      <c r="C273" s="1083"/>
      <c r="D273" s="1257"/>
      <c r="E273" s="1257"/>
      <c r="F273" s="1257" t="s">
        <v>1065</v>
      </c>
      <c r="G273" s="1257"/>
    </row>
    <row r="274" spans="1:7" s="1085" customFormat="1" ht="39.75" customHeight="1" x14ac:dyDescent="0.25">
      <c r="A274" s="1078"/>
      <c r="B274" s="1082"/>
      <c r="C274" s="1079"/>
      <c r="D274" s="1081"/>
      <c r="E274" s="1081"/>
      <c r="F274" s="1081"/>
      <c r="G274" s="1081"/>
    </row>
    <row r="275" spans="1:7" s="1085" customFormat="1" ht="31.5" x14ac:dyDescent="0.25">
      <c r="A275" s="1078"/>
      <c r="B275" s="1043" t="s">
        <v>1066</v>
      </c>
      <c r="C275" s="1079"/>
      <c r="D275" s="1258"/>
      <c r="E275" s="1258"/>
      <c r="F275" s="1258" t="s">
        <v>1067</v>
      </c>
      <c r="G275" s="1258"/>
    </row>
    <row r="276" spans="1:7" s="1085" customFormat="1" x14ac:dyDescent="0.25">
      <c r="A276" s="1078"/>
      <c r="B276" s="1043"/>
      <c r="C276" s="1079"/>
      <c r="D276" s="1081"/>
      <c r="E276" s="1081"/>
      <c r="F276" s="1081"/>
      <c r="G276" s="1081"/>
    </row>
    <row r="277" spans="1:7" s="1085" customFormat="1" x14ac:dyDescent="0.25">
      <c r="A277" s="1078"/>
      <c r="B277" s="1082"/>
      <c r="C277" s="1079"/>
      <c r="D277" s="1081"/>
      <c r="E277" s="1081"/>
      <c r="F277" s="1080"/>
      <c r="G277" s="1084"/>
    </row>
    <row r="278" spans="1:7" s="1085" customFormat="1" x14ac:dyDescent="0.25">
      <c r="A278" s="1078"/>
      <c r="B278" s="1082"/>
      <c r="C278" s="1079"/>
      <c r="D278" s="1081"/>
      <c r="E278" s="1081"/>
      <c r="F278" s="1080"/>
      <c r="G278" s="1084"/>
    </row>
    <row r="279" spans="1:7" s="1085" customFormat="1" x14ac:dyDescent="0.25">
      <c r="A279" s="1078"/>
      <c r="B279" s="1082"/>
      <c r="C279" s="1079"/>
      <c r="D279" s="1081"/>
      <c r="E279" s="1081"/>
      <c r="F279" s="1080"/>
      <c r="G279" s="1084"/>
    </row>
    <row r="280" spans="1:7" s="1085" customFormat="1" x14ac:dyDescent="0.25">
      <c r="A280" s="1078"/>
      <c r="B280" s="1082"/>
      <c r="C280" s="1079"/>
      <c r="D280" s="1081"/>
      <c r="E280" s="1081"/>
      <c r="F280" s="1080"/>
      <c r="G280" s="1084"/>
    </row>
    <row r="281" spans="1:7" s="1085" customFormat="1" x14ac:dyDescent="0.25">
      <c r="A281" s="1078"/>
      <c r="B281" s="1082"/>
      <c r="C281" s="1079"/>
      <c r="D281" s="1081"/>
      <c r="E281" s="1081"/>
      <c r="F281" s="1080"/>
      <c r="G281" s="1084"/>
    </row>
    <row r="282" spans="1:7" s="1085" customFormat="1" x14ac:dyDescent="0.25">
      <c r="A282" s="1078"/>
      <c r="B282" s="1082"/>
      <c r="C282" s="1079"/>
      <c r="D282" s="1081"/>
      <c r="E282" s="1081"/>
      <c r="F282" s="1080"/>
      <c r="G282" s="1084"/>
    </row>
    <row r="283" spans="1:7" s="1085" customFormat="1" x14ac:dyDescent="0.25">
      <c r="A283" s="1078"/>
      <c r="B283" s="1082"/>
      <c r="C283" s="1079"/>
      <c r="D283" s="1081"/>
      <c r="E283" s="1081"/>
      <c r="F283" s="1080"/>
      <c r="G283" s="1084"/>
    </row>
    <row r="284" spans="1:7" s="1085" customFormat="1" x14ac:dyDescent="0.25">
      <c r="A284" s="1078"/>
      <c r="B284" s="1082"/>
      <c r="C284" s="1079"/>
      <c r="D284" s="1081"/>
      <c r="E284" s="1081"/>
      <c r="F284" s="1080"/>
      <c r="G284" s="1084"/>
    </row>
    <row r="285" spans="1:7" s="1085" customFormat="1" x14ac:dyDescent="0.25">
      <c r="A285" s="1078"/>
      <c r="B285" s="1082"/>
      <c r="C285" s="1079"/>
      <c r="D285" s="1081"/>
      <c r="E285" s="1081"/>
      <c r="F285" s="1080"/>
      <c r="G285" s="1084"/>
    </row>
    <row r="286" spans="1:7" s="1085" customFormat="1" x14ac:dyDescent="0.25">
      <c r="A286" s="1078"/>
      <c r="B286" s="1082"/>
      <c r="C286" s="1079"/>
      <c r="D286" s="1081"/>
      <c r="E286" s="1081"/>
      <c r="F286" s="1080"/>
      <c r="G286" s="1084"/>
    </row>
    <row r="287" spans="1:7" s="1085" customFormat="1" x14ac:dyDescent="0.25">
      <c r="A287" s="1078"/>
      <c r="B287" s="1082"/>
      <c r="C287" s="1079"/>
      <c r="D287" s="1081"/>
      <c r="E287" s="1081"/>
      <c r="F287" s="1080"/>
      <c r="G287" s="1084"/>
    </row>
    <row r="288" spans="1:7" s="1085" customFormat="1" x14ac:dyDescent="0.25">
      <c r="A288" s="1078"/>
      <c r="B288" s="1082"/>
      <c r="C288" s="1079"/>
      <c r="D288" s="1081"/>
      <c r="E288" s="1081"/>
      <c r="F288" s="1080"/>
      <c r="G288" s="1084"/>
    </row>
    <row r="289" spans="1:7" s="1085" customFormat="1" x14ac:dyDescent="0.25">
      <c r="A289" s="1078"/>
      <c r="B289" s="1082"/>
      <c r="C289" s="1079"/>
      <c r="D289" s="1081"/>
      <c r="E289" s="1081"/>
      <c r="F289" s="1080"/>
      <c r="G289" s="1084"/>
    </row>
    <row r="290" spans="1:7" s="1085" customFormat="1" x14ac:dyDescent="0.25">
      <c r="A290" s="1078"/>
      <c r="B290" s="1082"/>
      <c r="C290" s="1079"/>
      <c r="D290" s="1081"/>
      <c r="E290" s="1081"/>
      <c r="F290" s="1080"/>
      <c r="G290" s="1084"/>
    </row>
    <row r="291" spans="1:7" s="1085" customFormat="1" x14ac:dyDescent="0.25">
      <c r="A291" s="1078"/>
      <c r="B291" s="1082"/>
      <c r="C291" s="1079"/>
      <c r="D291" s="1081"/>
      <c r="E291" s="1081"/>
      <c r="F291" s="1080"/>
      <c r="G291" s="1084"/>
    </row>
    <row r="292" spans="1:7" s="1085" customFormat="1" x14ac:dyDescent="0.25">
      <c r="A292" s="1078"/>
      <c r="B292" s="1082"/>
      <c r="C292" s="1079"/>
      <c r="D292" s="1081"/>
      <c r="E292" s="1081"/>
      <c r="F292" s="1080"/>
      <c r="G292" s="1084"/>
    </row>
    <row r="293" spans="1:7" s="1085" customFormat="1" x14ac:dyDescent="0.25">
      <c r="A293" s="1078"/>
      <c r="B293" s="1082"/>
      <c r="C293" s="1079"/>
      <c r="D293" s="1081"/>
      <c r="E293" s="1081"/>
      <c r="F293" s="1080"/>
      <c r="G293" s="1084"/>
    </row>
    <row r="294" spans="1:7" s="1085" customFormat="1" x14ac:dyDescent="0.25">
      <c r="A294" s="1078"/>
      <c r="B294" s="1082"/>
      <c r="C294" s="1079"/>
      <c r="D294" s="1081"/>
      <c r="E294" s="1081"/>
      <c r="F294" s="1080"/>
      <c r="G294" s="1084"/>
    </row>
    <row r="295" spans="1:7" s="1085" customFormat="1" x14ac:dyDescent="0.25">
      <c r="A295" s="1078"/>
      <c r="B295" s="1082"/>
      <c r="C295" s="1079"/>
      <c r="D295" s="1081"/>
      <c r="E295" s="1081"/>
      <c r="F295" s="1080"/>
      <c r="G295" s="1084"/>
    </row>
    <row r="296" spans="1:7" s="1085" customFormat="1" x14ac:dyDescent="0.25">
      <c r="A296" s="1078"/>
      <c r="B296" s="1082"/>
      <c r="C296" s="1079"/>
      <c r="D296" s="1081"/>
      <c r="E296" s="1081"/>
      <c r="F296" s="1080"/>
      <c r="G296" s="1084"/>
    </row>
    <row r="297" spans="1:7" s="1085" customFormat="1" x14ac:dyDescent="0.25">
      <c r="A297" s="1078"/>
      <c r="B297" s="1082"/>
      <c r="C297" s="1079"/>
      <c r="D297" s="1081"/>
      <c r="E297" s="1081"/>
      <c r="F297" s="1080"/>
      <c r="G297" s="1084"/>
    </row>
    <row r="298" spans="1:7" s="1085" customFormat="1" x14ac:dyDescent="0.25">
      <c r="A298" s="1078"/>
      <c r="B298" s="1082"/>
      <c r="C298" s="1079"/>
      <c r="D298" s="1081"/>
      <c r="E298" s="1081"/>
      <c r="F298" s="1080"/>
      <c r="G298" s="1084"/>
    </row>
    <row r="299" spans="1:7" s="1085" customFormat="1" x14ac:dyDescent="0.25">
      <c r="A299" s="1078"/>
      <c r="B299" s="1082"/>
      <c r="C299" s="1079"/>
      <c r="D299" s="1081"/>
      <c r="E299" s="1081"/>
      <c r="F299" s="1080"/>
      <c r="G299" s="1084"/>
    </row>
    <row r="300" spans="1:7" x14ac:dyDescent="0.25">
      <c r="A300" s="548"/>
    </row>
    <row r="301" spans="1:7" x14ac:dyDescent="0.25">
      <c r="A301" s="548"/>
    </row>
    <row r="302" spans="1:7" x14ac:dyDescent="0.25">
      <c r="A302" s="548"/>
    </row>
    <row r="303" spans="1:7" x14ac:dyDescent="0.25">
      <c r="A303" s="548"/>
    </row>
    <row r="304" spans="1:7" x14ac:dyDescent="0.25">
      <c r="A304" s="548"/>
    </row>
    <row r="305" spans="1:1" x14ac:dyDescent="0.25">
      <c r="A305" s="548"/>
    </row>
    <row r="306" spans="1:1" x14ac:dyDescent="0.25">
      <c r="A306" s="548"/>
    </row>
    <row r="307" spans="1:1" x14ac:dyDescent="0.25">
      <c r="A307" s="548"/>
    </row>
    <row r="308" spans="1:1" x14ac:dyDescent="0.25">
      <c r="A308" s="548"/>
    </row>
    <row r="309" spans="1:1" x14ac:dyDescent="0.25">
      <c r="A309" s="548"/>
    </row>
    <row r="310" spans="1:1" x14ac:dyDescent="0.25">
      <c r="A310" s="548"/>
    </row>
    <row r="311" spans="1:1" x14ac:dyDescent="0.25">
      <c r="A311" s="548"/>
    </row>
    <row r="312" spans="1:1" x14ac:dyDescent="0.25">
      <c r="A312" s="548"/>
    </row>
    <row r="313" spans="1:1" x14ac:dyDescent="0.25">
      <c r="A313" s="548"/>
    </row>
    <row r="314" spans="1:1" x14ac:dyDescent="0.25">
      <c r="A314" s="548"/>
    </row>
    <row r="315" spans="1:1" x14ac:dyDescent="0.25">
      <c r="A315" s="548"/>
    </row>
    <row r="316" spans="1:1" x14ac:dyDescent="0.25">
      <c r="A316" s="548"/>
    </row>
    <row r="317" spans="1:1" x14ac:dyDescent="0.25">
      <c r="A317" s="548"/>
    </row>
    <row r="318" spans="1:1" x14ac:dyDescent="0.25">
      <c r="A318" s="548"/>
    </row>
    <row r="319" spans="1:1" x14ac:dyDescent="0.25">
      <c r="A319" s="548"/>
    </row>
    <row r="320" spans="1:1" x14ac:dyDescent="0.25">
      <c r="A320" s="548"/>
    </row>
    <row r="321" spans="1:1" x14ac:dyDescent="0.25">
      <c r="A321" s="548"/>
    </row>
    <row r="322" spans="1:1" x14ac:dyDescent="0.25">
      <c r="A322" s="548"/>
    </row>
    <row r="323" spans="1:1" x14ac:dyDescent="0.25">
      <c r="A323" s="548"/>
    </row>
    <row r="324" spans="1:1" x14ac:dyDescent="0.25">
      <c r="A324" s="548"/>
    </row>
    <row r="325" spans="1:1" x14ac:dyDescent="0.25">
      <c r="A325" s="548"/>
    </row>
    <row r="326" spans="1:1" x14ac:dyDescent="0.25">
      <c r="A326" s="548"/>
    </row>
    <row r="327" spans="1:1" x14ac:dyDescent="0.25">
      <c r="A327" s="548"/>
    </row>
    <row r="328" spans="1:1" x14ac:dyDescent="0.25">
      <c r="A328" s="548"/>
    </row>
    <row r="329" spans="1:1" x14ac:dyDescent="0.25">
      <c r="A329" s="548"/>
    </row>
    <row r="330" spans="1:1" x14ac:dyDescent="0.25">
      <c r="A330" s="548"/>
    </row>
    <row r="331" spans="1:1" x14ac:dyDescent="0.25">
      <c r="A331" s="548"/>
    </row>
    <row r="332" spans="1:1" x14ac:dyDescent="0.25">
      <c r="A332" s="548"/>
    </row>
    <row r="333" spans="1:1" x14ac:dyDescent="0.25">
      <c r="A333" s="548"/>
    </row>
    <row r="334" spans="1:1" x14ac:dyDescent="0.25">
      <c r="A334" s="548"/>
    </row>
    <row r="335" spans="1:1" x14ac:dyDescent="0.25">
      <c r="A335" s="548"/>
    </row>
    <row r="336" spans="1:1" x14ac:dyDescent="0.25">
      <c r="A336" s="548"/>
    </row>
    <row r="337" spans="1:1" x14ac:dyDescent="0.25">
      <c r="A337" s="548"/>
    </row>
    <row r="338" spans="1:1" x14ac:dyDescent="0.25">
      <c r="A338" s="548"/>
    </row>
    <row r="339" spans="1:1" x14ac:dyDescent="0.25">
      <c r="A339" s="548"/>
    </row>
    <row r="340" spans="1:1" x14ac:dyDescent="0.25">
      <c r="A340" s="548"/>
    </row>
    <row r="341" spans="1:1" x14ac:dyDescent="0.25">
      <c r="A341" s="548"/>
    </row>
    <row r="342" spans="1:1" x14ac:dyDescent="0.25">
      <c r="A342" s="548"/>
    </row>
    <row r="343" spans="1:1" x14ac:dyDescent="0.25">
      <c r="A343" s="548"/>
    </row>
    <row r="344" spans="1:1" x14ac:dyDescent="0.25">
      <c r="A344" s="548"/>
    </row>
    <row r="345" spans="1:1" x14ac:dyDescent="0.25">
      <c r="A345" s="548"/>
    </row>
    <row r="346" spans="1:1" x14ac:dyDescent="0.25">
      <c r="A346" s="548"/>
    </row>
    <row r="347" spans="1:1" x14ac:dyDescent="0.25">
      <c r="A347" s="548"/>
    </row>
    <row r="348" spans="1:1" x14ac:dyDescent="0.25">
      <c r="A348" s="548"/>
    </row>
    <row r="349" spans="1:1" x14ac:dyDescent="0.25">
      <c r="A349" s="548"/>
    </row>
    <row r="350" spans="1:1" x14ac:dyDescent="0.25">
      <c r="A350" s="548"/>
    </row>
    <row r="351" spans="1:1" x14ac:dyDescent="0.25">
      <c r="A351" s="548"/>
    </row>
    <row r="352" spans="1:1" x14ac:dyDescent="0.25">
      <c r="A352" s="548"/>
    </row>
    <row r="353" spans="1:1" x14ac:dyDescent="0.25">
      <c r="A353" s="548"/>
    </row>
    <row r="354" spans="1:1" x14ac:dyDescent="0.25">
      <c r="A354" s="548"/>
    </row>
    <row r="355" spans="1:1" x14ac:dyDescent="0.25">
      <c r="A355" s="548"/>
    </row>
    <row r="356" spans="1:1" x14ac:dyDescent="0.25">
      <c r="A356" s="548"/>
    </row>
    <row r="357" spans="1:1" x14ac:dyDescent="0.25">
      <c r="A357" s="548"/>
    </row>
    <row r="358" spans="1:1" x14ac:dyDescent="0.25">
      <c r="A358" s="548"/>
    </row>
    <row r="359" spans="1:1" x14ac:dyDescent="0.25">
      <c r="A359" s="548"/>
    </row>
    <row r="360" spans="1:1" x14ac:dyDescent="0.25">
      <c r="A360" s="548"/>
    </row>
    <row r="361" spans="1:1" x14ac:dyDescent="0.25">
      <c r="A361" s="548"/>
    </row>
    <row r="362" spans="1:1" x14ac:dyDescent="0.25">
      <c r="A362" s="548"/>
    </row>
    <row r="363" spans="1:1" x14ac:dyDescent="0.25">
      <c r="A363" s="548"/>
    </row>
    <row r="364" spans="1:1" x14ac:dyDescent="0.25">
      <c r="A364" s="548"/>
    </row>
    <row r="365" spans="1:1" x14ac:dyDescent="0.25">
      <c r="A365" s="548"/>
    </row>
    <row r="366" spans="1:1" x14ac:dyDescent="0.25">
      <c r="A366" s="548"/>
    </row>
    <row r="367" spans="1:1" x14ac:dyDescent="0.25">
      <c r="A367" s="548"/>
    </row>
    <row r="368" spans="1:1" x14ac:dyDescent="0.25">
      <c r="A368" s="548"/>
    </row>
    <row r="369" spans="1:1" x14ac:dyDescent="0.25">
      <c r="A369" s="548"/>
    </row>
    <row r="370" spans="1:1" x14ac:dyDescent="0.25">
      <c r="A370" s="548"/>
    </row>
    <row r="371" spans="1:1" x14ac:dyDescent="0.25">
      <c r="A371" s="548"/>
    </row>
    <row r="372" spans="1:1" x14ac:dyDescent="0.25">
      <c r="A372" s="548"/>
    </row>
    <row r="373" spans="1:1" x14ac:dyDescent="0.25">
      <c r="A373" s="548"/>
    </row>
    <row r="374" spans="1:1" x14ac:dyDescent="0.25">
      <c r="A374" s="548"/>
    </row>
    <row r="375" spans="1:1" x14ac:dyDescent="0.25">
      <c r="A375" s="548"/>
    </row>
    <row r="376" spans="1:1" x14ac:dyDescent="0.25">
      <c r="A376" s="548"/>
    </row>
    <row r="377" spans="1:1" x14ac:dyDescent="0.25">
      <c r="A377" s="548"/>
    </row>
    <row r="378" spans="1:1" x14ac:dyDescent="0.25">
      <c r="A378" s="548"/>
    </row>
    <row r="379" spans="1:1" x14ac:dyDescent="0.25">
      <c r="A379" s="548"/>
    </row>
    <row r="380" spans="1:1" x14ac:dyDescent="0.25">
      <c r="A380" s="548"/>
    </row>
    <row r="381" spans="1:1" x14ac:dyDescent="0.25">
      <c r="A381" s="548"/>
    </row>
    <row r="382" spans="1:1" x14ac:dyDescent="0.25">
      <c r="A382" s="548"/>
    </row>
    <row r="383" spans="1:1" x14ac:dyDescent="0.25">
      <c r="A383" s="548"/>
    </row>
    <row r="384" spans="1:1" x14ac:dyDescent="0.25">
      <c r="A384" s="548"/>
    </row>
    <row r="385" spans="1:1" x14ac:dyDescent="0.25">
      <c r="A385" s="548"/>
    </row>
    <row r="386" spans="1:1" x14ac:dyDescent="0.25">
      <c r="A386" s="548"/>
    </row>
    <row r="387" spans="1:1" x14ac:dyDescent="0.25">
      <c r="A387" s="548"/>
    </row>
    <row r="388" spans="1:1" x14ac:dyDescent="0.25">
      <c r="A388" s="548"/>
    </row>
    <row r="389" spans="1:1" x14ac:dyDescent="0.25">
      <c r="A389" s="548"/>
    </row>
    <row r="390" spans="1:1" x14ac:dyDescent="0.25">
      <c r="A390" s="548"/>
    </row>
    <row r="391" spans="1:1" x14ac:dyDescent="0.25">
      <c r="A391" s="548"/>
    </row>
    <row r="392" spans="1:1" x14ac:dyDescent="0.25">
      <c r="A392" s="548"/>
    </row>
    <row r="393" spans="1:1" x14ac:dyDescent="0.25">
      <c r="A393" s="548"/>
    </row>
    <row r="394" spans="1:1" x14ac:dyDescent="0.25">
      <c r="A394" s="548"/>
    </row>
    <row r="395" spans="1:1" x14ac:dyDescent="0.25">
      <c r="A395" s="548"/>
    </row>
    <row r="396" spans="1:1" x14ac:dyDescent="0.25">
      <c r="A396" s="548"/>
    </row>
    <row r="397" spans="1:1" x14ac:dyDescent="0.25">
      <c r="A397" s="548"/>
    </row>
    <row r="398" spans="1:1" x14ac:dyDescent="0.25">
      <c r="A398" s="548"/>
    </row>
    <row r="399" spans="1:1" x14ac:dyDescent="0.25">
      <c r="A399" s="548"/>
    </row>
    <row r="400" spans="1:1" x14ac:dyDescent="0.25">
      <c r="A400" s="548"/>
    </row>
    <row r="401" spans="1:1" x14ac:dyDescent="0.25">
      <c r="A401" s="548"/>
    </row>
    <row r="402" spans="1:1" x14ac:dyDescent="0.25">
      <c r="A402" s="548"/>
    </row>
    <row r="403" spans="1:1" x14ac:dyDescent="0.25">
      <c r="A403" s="548"/>
    </row>
    <row r="404" spans="1:1" x14ac:dyDescent="0.25">
      <c r="A404" s="548"/>
    </row>
    <row r="405" spans="1:1" x14ac:dyDescent="0.25">
      <c r="A405" s="548"/>
    </row>
    <row r="406" spans="1:1" x14ac:dyDescent="0.25">
      <c r="A406" s="548"/>
    </row>
    <row r="407" spans="1:1" x14ac:dyDescent="0.25">
      <c r="A407" s="548"/>
    </row>
    <row r="408" spans="1:1" x14ac:dyDescent="0.25">
      <c r="A408" s="548"/>
    </row>
    <row r="409" spans="1:1" x14ac:dyDescent="0.25">
      <c r="A409" s="548"/>
    </row>
    <row r="410" spans="1:1" x14ac:dyDescent="0.25">
      <c r="A410" s="548"/>
    </row>
    <row r="411" spans="1:1" x14ac:dyDescent="0.25">
      <c r="A411" s="548"/>
    </row>
    <row r="412" spans="1:1" x14ac:dyDescent="0.25">
      <c r="A412" s="548"/>
    </row>
    <row r="413" spans="1:1" x14ac:dyDescent="0.25">
      <c r="A413" s="548"/>
    </row>
    <row r="414" spans="1:1" x14ac:dyDescent="0.25">
      <c r="A414" s="548"/>
    </row>
    <row r="415" spans="1:1" x14ac:dyDescent="0.25">
      <c r="A415" s="548"/>
    </row>
    <row r="416" spans="1:1" x14ac:dyDescent="0.25">
      <c r="A416" s="548"/>
    </row>
    <row r="417" spans="1:1" x14ac:dyDescent="0.25">
      <c r="A417" s="548"/>
    </row>
    <row r="418" spans="1:1" x14ac:dyDescent="0.25">
      <c r="A418" s="548"/>
    </row>
    <row r="419" spans="1:1" x14ac:dyDescent="0.25">
      <c r="A419" s="548"/>
    </row>
    <row r="420" spans="1:1" x14ac:dyDescent="0.25">
      <c r="A420" s="548"/>
    </row>
    <row r="421" spans="1:1" x14ac:dyDescent="0.25">
      <c r="A421" s="548"/>
    </row>
    <row r="422" spans="1:1" x14ac:dyDescent="0.25">
      <c r="A422" s="548"/>
    </row>
    <row r="423" spans="1:1" x14ac:dyDescent="0.25">
      <c r="A423" s="548"/>
    </row>
    <row r="424" spans="1:1" x14ac:dyDescent="0.25">
      <c r="A424" s="548"/>
    </row>
    <row r="425" spans="1:1" x14ac:dyDescent="0.25">
      <c r="A425" s="548"/>
    </row>
    <row r="426" spans="1:1" x14ac:dyDescent="0.25">
      <c r="A426" s="548"/>
    </row>
    <row r="427" spans="1:1" x14ac:dyDescent="0.25">
      <c r="A427" s="548"/>
    </row>
    <row r="428" spans="1:1" x14ac:dyDescent="0.25">
      <c r="A428" s="548"/>
    </row>
    <row r="429" spans="1:1" x14ac:dyDescent="0.25">
      <c r="A429" s="548"/>
    </row>
    <row r="430" spans="1:1" x14ac:dyDescent="0.25">
      <c r="A430" s="548"/>
    </row>
    <row r="431" spans="1:1" x14ac:dyDescent="0.25">
      <c r="A431" s="548"/>
    </row>
    <row r="432" spans="1:1" x14ac:dyDescent="0.25">
      <c r="A432" s="548"/>
    </row>
    <row r="433" spans="1:1" x14ac:dyDescent="0.25">
      <c r="A433" s="548"/>
    </row>
    <row r="434" spans="1:1" x14ac:dyDescent="0.25">
      <c r="A434" s="548"/>
    </row>
    <row r="435" spans="1:1" x14ac:dyDescent="0.25">
      <c r="A435" s="548"/>
    </row>
    <row r="436" spans="1:1" x14ac:dyDescent="0.25">
      <c r="A436" s="548"/>
    </row>
    <row r="437" spans="1:1" x14ac:dyDescent="0.25">
      <c r="A437" s="548"/>
    </row>
    <row r="438" spans="1:1" x14ac:dyDescent="0.25">
      <c r="A438" s="548"/>
    </row>
    <row r="439" spans="1:1" x14ac:dyDescent="0.25">
      <c r="A439" s="548"/>
    </row>
    <row r="440" spans="1:1" x14ac:dyDescent="0.25">
      <c r="A440" s="548"/>
    </row>
    <row r="441" spans="1:1" x14ac:dyDescent="0.25">
      <c r="A441" s="548"/>
    </row>
    <row r="442" spans="1:1" x14ac:dyDescent="0.25">
      <c r="A442" s="548"/>
    </row>
    <row r="443" spans="1:1" x14ac:dyDescent="0.25">
      <c r="A443" s="548"/>
    </row>
    <row r="444" spans="1:1" x14ac:dyDescent="0.25">
      <c r="A444" s="548"/>
    </row>
    <row r="445" spans="1:1" x14ac:dyDescent="0.25">
      <c r="A445" s="548"/>
    </row>
    <row r="446" spans="1:1" x14ac:dyDescent="0.25">
      <c r="A446" s="548"/>
    </row>
    <row r="447" spans="1:1" x14ac:dyDescent="0.25">
      <c r="A447" s="548"/>
    </row>
    <row r="448" spans="1:1" x14ac:dyDescent="0.25">
      <c r="A448" s="548"/>
    </row>
    <row r="449" spans="1:1" x14ac:dyDescent="0.25">
      <c r="A449" s="548"/>
    </row>
    <row r="450" spans="1:1" x14ac:dyDescent="0.25">
      <c r="A450" s="548"/>
    </row>
    <row r="451" spans="1:1" x14ac:dyDescent="0.25">
      <c r="A451" s="548"/>
    </row>
    <row r="452" spans="1:1" x14ac:dyDescent="0.25">
      <c r="A452" s="548"/>
    </row>
    <row r="453" spans="1:1" x14ac:dyDescent="0.25">
      <c r="A453" s="548"/>
    </row>
    <row r="454" spans="1:1" x14ac:dyDescent="0.25">
      <c r="A454" s="548"/>
    </row>
    <row r="455" spans="1:1" x14ac:dyDescent="0.25">
      <c r="A455" s="548"/>
    </row>
    <row r="456" spans="1:1" x14ac:dyDescent="0.25">
      <c r="A456" s="548"/>
    </row>
    <row r="457" spans="1:1" x14ac:dyDescent="0.25">
      <c r="A457" s="548"/>
    </row>
    <row r="458" spans="1:1" x14ac:dyDescent="0.25">
      <c r="A458" s="548"/>
    </row>
    <row r="459" spans="1:1" x14ac:dyDescent="0.25">
      <c r="A459" s="548"/>
    </row>
    <row r="460" spans="1:1" x14ac:dyDescent="0.25">
      <c r="A460" s="548"/>
    </row>
    <row r="461" spans="1:1" x14ac:dyDescent="0.25">
      <c r="A461" s="548"/>
    </row>
    <row r="462" spans="1:1" x14ac:dyDescent="0.25">
      <c r="A462" s="548"/>
    </row>
    <row r="463" spans="1:1" x14ac:dyDescent="0.25">
      <c r="A463" s="548"/>
    </row>
    <row r="464" spans="1:1" x14ac:dyDescent="0.25">
      <c r="A464" s="548"/>
    </row>
    <row r="465" spans="1:1" x14ac:dyDescent="0.25">
      <c r="A465" s="548"/>
    </row>
    <row r="466" spans="1:1" x14ac:dyDescent="0.25">
      <c r="A466" s="548"/>
    </row>
    <row r="467" spans="1:1" x14ac:dyDescent="0.25">
      <c r="A467" s="548"/>
    </row>
    <row r="468" spans="1:1" x14ac:dyDescent="0.25">
      <c r="A468" s="548"/>
    </row>
    <row r="469" spans="1:1" x14ac:dyDescent="0.25">
      <c r="A469" s="548"/>
    </row>
    <row r="470" spans="1:1" x14ac:dyDescent="0.25">
      <c r="A470" s="548"/>
    </row>
    <row r="471" spans="1:1" x14ac:dyDescent="0.25">
      <c r="A471" s="548"/>
    </row>
    <row r="472" spans="1:1" x14ac:dyDescent="0.25">
      <c r="A472" s="548"/>
    </row>
    <row r="473" spans="1:1" x14ac:dyDescent="0.25">
      <c r="A473" s="548"/>
    </row>
    <row r="474" spans="1:1" x14ac:dyDescent="0.25">
      <c r="A474" s="548"/>
    </row>
    <row r="475" spans="1:1" x14ac:dyDescent="0.25">
      <c r="A475" s="548"/>
    </row>
    <row r="476" spans="1:1" x14ac:dyDescent="0.25">
      <c r="A476" s="548"/>
    </row>
    <row r="477" spans="1:1" x14ac:dyDescent="0.25">
      <c r="A477" s="548"/>
    </row>
    <row r="478" spans="1:1" x14ac:dyDescent="0.25">
      <c r="A478" s="548"/>
    </row>
    <row r="479" spans="1:1" x14ac:dyDescent="0.25">
      <c r="A479" s="548"/>
    </row>
    <row r="480" spans="1:1" x14ac:dyDescent="0.25">
      <c r="A480" s="548"/>
    </row>
    <row r="481" spans="1:1" x14ac:dyDescent="0.25">
      <c r="A481" s="548"/>
    </row>
    <row r="482" spans="1:1" x14ac:dyDescent="0.25">
      <c r="A482" s="548"/>
    </row>
    <row r="483" spans="1:1" x14ac:dyDescent="0.25">
      <c r="A483" s="548"/>
    </row>
    <row r="484" spans="1:1" x14ac:dyDescent="0.25">
      <c r="A484" s="548"/>
    </row>
    <row r="485" spans="1:1" x14ac:dyDescent="0.25">
      <c r="A485" s="548"/>
    </row>
    <row r="486" spans="1:1" x14ac:dyDescent="0.25">
      <c r="A486" s="548"/>
    </row>
    <row r="487" spans="1:1" x14ac:dyDescent="0.25">
      <c r="A487" s="548"/>
    </row>
    <row r="488" spans="1:1" x14ac:dyDescent="0.25">
      <c r="A488" s="548"/>
    </row>
    <row r="489" spans="1:1" x14ac:dyDescent="0.25">
      <c r="A489" s="548"/>
    </row>
    <row r="490" spans="1:1" x14ac:dyDescent="0.25">
      <c r="A490" s="548"/>
    </row>
    <row r="491" spans="1:1" x14ac:dyDescent="0.25">
      <c r="A491" s="548"/>
    </row>
    <row r="492" spans="1:1" x14ac:dyDescent="0.25">
      <c r="A492" s="548"/>
    </row>
    <row r="493" spans="1:1" x14ac:dyDescent="0.25">
      <c r="A493" s="548"/>
    </row>
    <row r="494" spans="1:1" x14ac:dyDescent="0.25">
      <c r="A494" s="548"/>
    </row>
    <row r="495" spans="1:1" x14ac:dyDescent="0.25">
      <c r="A495" s="548"/>
    </row>
    <row r="496" spans="1:1" x14ac:dyDescent="0.25">
      <c r="A496" s="548"/>
    </row>
    <row r="497" spans="1:1" x14ac:dyDescent="0.25">
      <c r="A497" s="548"/>
    </row>
    <row r="498" spans="1:1" x14ac:dyDescent="0.25">
      <c r="A498" s="548"/>
    </row>
    <row r="499" spans="1:1" x14ac:dyDescent="0.25">
      <c r="A499" s="548"/>
    </row>
    <row r="500" spans="1:1" x14ac:dyDescent="0.25">
      <c r="A500" s="548"/>
    </row>
    <row r="501" spans="1:1" x14ac:dyDescent="0.25">
      <c r="A501" s="548"/>
    </row>
    <row r="502" spans="1:1" x14ac:dyDescent="0.25">
      <c r="A502" s="548"/>
    </row>
    <row r="503" spans="1:1" x14ac:dyDescent="0.25">
      <c r="A503" s="548"/>
    </row>
    <row r="504" spans="1:1" x14ac:dyDescent="0.25">
      <c r="A504" s="548"/>
    </row>
    <row r="505" spans="1:1" x14ac:dyDescent="0.25">
      <c r="A505" s="548"/>
    </row>
    <row r="506" spans="1:1" x14ac:dyDescent="0.25">
      <c r="A506" s="548"/>
    </row>
    <row r="507" spans="1:1" x14ac:dyDescent="0.25">
      <c r="A507" s="548"/>
    </row>
    <row r="508" spans="1:1" x14ac:dyDescent="0.25">
      <c r="A508" s="548"/>
    </row>
    <row r="509" spans="1:1" x14ac:dyDescent="0.25">
      <c r="A509" s="548"/>
    </row>
    <row r="510" spans="1:1" x14ac:dyDescent="0.25">
      <c r="A510" s="548"/>
    </row>
    <row r="511" spans="1:1" x14ac:dyDescent="0.25">
      <c r="A511" s="548"/>
    </row>
    <row r="512" spans="1:1" x14ac:dyDescent="0.25">
      <c r="A512" s="548"/>
    </row>
    <row r="513" spans="1:1" x14ac:dyDescent="0.25">
      <c r="A513" s="548"/>
    </row>
    <row r="514" spans="1:1" x14ac:dyDescent="0.25">
      <c r="A514" s="548"/>
    </row>
    <row r="515" spans="1:1" x14ac:dyDescent="0.25">
      <c r="A515" s="548"/>
    </row>
    <row r="516" spans="1:1" x14ac:dyDescent="0.25">
      <c r="A516" s="548"/>
    </row>
    <row r="517" spans="1:1" x14ac:dyDescent="0.25">
      <c r="A517" s="548"/>
    </row>
    <row r="518" spans="1:1" x14ac:dyDescent="0.25">
      <c r="A518" s="548"/>
    </row>
    <row r="519" spans="1:1" x14ac:dyDescent="0.25">
      <c r="A519" s="548"/>
    </row>
    <row r="520" spans="1:1" x14ac:dyDescent="0.25">
      <c r="A520" s="548"/>
    </row>
    <row r="521" spans="1:1" x14ac:dyDescent="0.25">
      <c r="A521" s="548"/>
    </row>
    <row r="522" spans="1:1" x14ac:dyDescent="0.25">
      <c r="A522" s="548"/>
    </row>
    <row r="523" spans="1:1" x14ac:dyDescent="0.25">
      <c r="A523" s="548"/>
    </row>
    <row r="524" spans="1:1" x14ac:dyDescent="0.25">
      <c r="A524" s="548"/>
    </row>
    <row r="525" spans="1:1" x14ac:dyDescent="0.25">
      <c r="A525" s="548"/>
    </row>
    <row r="526" spans="1:1" x14ac:dyDescent="0.25">
      <c r="A526" s="548"/>
    </row>
    <row r="527" spans="1:1" x14ac:dyDescent="0.25">
      <c r="A527" s="548"/>
    </row>
    <row r="528" spans="1:1" x14ac:dyDescent="0.25">
      <c r="A528" s="548"/>
    </row>
    <row r="529" spans="1:1" x14ac:dyDescent="0.25">
      <c r="A529" s="548"/>
    </row>
    <row r="530" spans="1:1" x14ac:dyDescent="0.25">
      <c r="A530" s="548"/>
    </row>
    <row r="531" spans="1:1" x14ac:dyDescent="0.25">
      <c r="A531" s="548"/>
    </row>
    <row r="532" spans="1:1" x14ac:dyDescent="0.25">
      <c r="A532" s="548"/>
    </row>
    <row r="533" spans="1:1" x14ac:dyDescent="0.25">
      <c r="A533" s="548"/>
    </row>
    <row r="534" spans="1:1" x14ac:dyDescent="0.25">
      <c r="A534" s="548"/>
    </row>
    <row r="535" spans="1:1" x14ac:dyDescent="0.25">
      <c r="A535" s="548"/>
    </row>
    <row r="536" spans="1:1" x14ac:dyDescent="0.25">
      <c r="A536" s="548"/>
    </row>
    <row r="537" spans="1:1" x14ac:dyDescent="0.25">
      <c r="A537" s="548"/>
    </row>
    <row r="538" spans="1:1" x14ac:dyDescent="0.25">
      <c r="A538" s="548"/>
    </row>
    <row r="539" spans="1:1" x14ac:dyDescent="0.25">
      <c r="A539" s="548"/>
    </row>
    <row r="540" spans="1:1" x14ac:dyDescent="0.25">
      <c r="A540" s="548"/>
    </row>
    <row r="541" spans="1:1" x14ac:dyDescent="0.25">
      <c r="A541" s="548"/>
    </row>
    <row r="542" spans="1:1" x14ac:dyDescent="0.25">
      <c r="A542" s="548"/>
    </row>
    <row r="543" spans="1:1" x14ac:dyDescent="0.25">
      <c r="A543" s="548"/>
    </row>
    <row r="544" spans="1:1" x14ac:dyDescent="0.25">
      <c r="A544" s="548"/>
    </row>
    <row r="545" spans="1:1" x14ac:dyDescent="0.25">
      <c r="A545" s="548"/>
    </row>
    <row r="546" spans="1:1" x14ac:dyDescent="0.25">
      <c r="A546" s="548"/>
    </row>
    <row r="547" spans="1:1" x14ac:dyDescent="0.25">
      <c r="A547" s="548"/>
    </row>
    <row r="548" spans="1:1" x14ac:dyDescent="0.25">
      <c r="A548" s="548"/>
    </row>
    <row r="549" spans="1:1" x14ac:dyDescent="0.25">
      <c r="A549" s="548"/>
    </row>
    <row r="550" spans="1:1" x14ac:dyDescent="0.25">
      <c r="A550" s="548"/>
    </row>
    <row r="551" spans="1:1" x14ac:dyDescent="0.25">
      <c r="A551" s="548"/>
    </row>
    <row r="552" spans="1:1" x14ac:dyDescent="0.25">
      <c r="A552" s="548"/>
    </row>
    <row r="553" spans="1:1" x14ac:dyDescent="0.25">
      <c r="A553" s="548"/>
    </row>
    <row r="554" spans="1:1" x14ac:dyDescent="0.25">
      <c r="A554" s="548"/>
    </row>
    <row r="555" spans="1:1" x14ac:dyDescent="0.25">
      <c r="A555" s="548"/>
    </row>
    <row r="556" spans="1:1" x14ac:dyDescent="0.25">
      <c r="A556" s="548"/>
    </row>
    <row r="557" spans="1:1" x14ac:dyDescent="0.25">
      <c r="A557" s="548"/>
    </row>
    <row r="558" spans="1:1" x14ac:dyDescent="0.25">
      <c r="A558" s="548"/>
    </row>
    <row r="559" spans="1:1" x14ac:dyDescent="0.25">
      <c r="A559" s="548"/>
    </row>
    <row r="560" spans="1:1" x14ac:dyDescent="0.25">
      <c r="A560" s="548"/>
    </row>
    <row r="561" spans="1:1" x14ac:dyDescent="0.25">
      <c r="A561" s="548"/>
    </row>
    <row r="562" spans="1:1" x14ac:dyDescent="0.25">
      <c r="A562" s="548"/>
    </row>
    <row r="563" spans="1:1" x14ac:dyDescent="0.25">
      <c r="A563" s="548"/>
    </row>
    <row r="564" spans="1:1" x14ac:dyDescent="0.25">
      <c r="A564" s="548"/>
    </row>
    <row r="565" spans="1:1" x14ac:dyDescent="0.25">
      <c r="A565" s="548"/>
    </row>
    <row r="566" spans="1:1" x14ac:dyDescent="0.25">
      <c r="A566" s="548"/>
    </row>
    <row r="567" spans="1:1" x14ac:dyDescent="0.25">
      <c r="A567" s="548"/>
    </row>
    <row r="568" spans="1:1" x14ac:dyDescent="0.25">
      <c r="A568" s="548"/>
    </row>
    <row r="569" spans="1:1" x14ac:dyDescent="0.25">
      <c r="A569" s="548"/>
    </row>
    <row r="570" spans="1:1" x14ac:dyDescent="0.25">
      <c r="A570" s="548"/>
    </row>
    <row r="571" spans="1:1" x14ac:dyDescent="0.25">
      <c r="A571" s="548"/>
    </row>
    <row r="572" spans="1:1" x14ac:dyDescent="0.25">
      <c r="A572" s="548"/>
    </row>
    <row r="573" spans="1:1" x14ac:dyDescent="0.25">
      <c r="A573" s="548"/>
    </row>
    <row r="574" spans="1:1" x14ac:dyDescent="0.25">
      <c r="A574" s="548"/>
    </row>
    <row r="575" spans="1:1" x14ac:dyDescent="0.25">
      <c r="A575" s="548"/>
    </row>
    <row r="576" spans="1:1" x14ac:dyDescent="0.25">
      <c r="A576" s="548"/>
    </row>
    <row r="577" spans="1:1" x14ac:dyDescent="0.25">
      <c r="A577" s="548"/>
    </row>
    <row r="578" spans="1:1" x14ac:dyDescent="0.25">
      <c r="A578" s="548"/>
    </row>
    <row r="579" spans="1:1" x14ac:dyDescent="0.25">
      <c r="A579" s="548"/>
    </row>
    <row r="580" spans="1:1" x14ac:dyDescent="0.25">
      <c r="A580" s="548"/>
    </row>
    <row r="581" spans="1:1" x14ac:dyDescent="0.25">
      <c r="A581" s="548"/>
    </row>
    <row r="582" spans="1:1" x14ac:dyDescent="0.25">
      <c r="A582" s="548"/>
    </row>
    <row r="583" spans="1:1" x14ac:dyDescent="0.25">
      <c r="A583" s="548"/>
    </row>
    <row r="584" spans="1:1" x14ac:dyDescent="0.25">
      <c r="A584" s="548"/>
    </row>
    <row r="585" spans="1:1" x14ac:dyDescent="0.25">
      <c r="A585" s="548"/>
    </row>
    <row r="586" spans="1:1" x14ac:dyDescent="0.25">
      <c r="A586" s="548"/>
    </row>
    <row r="587" spans="1:1" x14ac:dyDescent="0.25">
      <c r="A587" s="548"/>
    </row>
    <row r="588" spans="1:1" x14ac:dyDescent="0.25">
      <c r="A588" s="548"/>
    </row>
    <row r="589" spans="1:1" x14ac:dyDescent="0.25">
      <c r="A589" s="548"/>
    </row>
    <row r="590" spans="1:1" x14ac:dyDescent="0.25">
      <c r="A590" s="548"/>
    </row>
    <row r="591" spans="1:1" x14ac:dyDescent="0.25">
      <c r="A591" s="548"/>
    </row>
    <row r="592" spans="1:1" x14ac:dyDescent="0.25">
      <c r="A592" s="548"/>
    </row>
    <row r="593" spans="1:1" x14ac:dyDescent="0.25">
      <c r="A593" s="548"/>
    </row>
    <row r="594" spans="1:1" x14ac:dyDescent="0.25">
      <c r="A594" s="548"/>
    </row>
    <row r="595" spans="1:1" x14ac:dyDescent="0.25">
      <c r="A595" s="548"/>
    </row>
    <row r="596" spans="1:1" x14ac:dyDescent="0.25">
      <c r="A596" s="548"/>
    </row>
    <row r="597" spans="1:1" x14ac:dyDescent="0.25">
      <c r="A597" s="548"/>
    </row>
    <row r="598" spans="1:1" x14ac:dyDescent="0.25">
      <c r="A598" s="548"/>
    </row>
    <row r="599" spans="1:1" x14ac:dyDescent="0.25">
      <c r="A599" s="548"/>
    </row>
    <row r="600" spans="1:1" x14ac:dyDescent="0.25">
      <c r="A600" s="548"/>
    </row>
    <row r="601" spans="1:1" x14ac:dyDescent="0.25">
      <c r="A601" s="548"/>
    </row>
    <row r="602" spans="1:1" x14ac:dyDescent="0.25">
      <c r="A602" s="548"/>
    </row>
    <row r="603" spans="1:1" x14ac:dyDescent="0.25">
      <c r="A603" s="548"/>
    </row>
    <row r="604" spans="1:1" x14ac:dyDescent="0.25">
      <c r="A604" s="548"/>
    </row>
    <row r="605" spans="1:1" x14ac:dyDescent="0.25">
      <c r="A605" s="548"/>
    </row>
  </sheetData>
  <mergeCells count="54">
    <mergeCell ref="F267:G267"/>
    <mergeCell ref="F269:G269"/>
    <mergeCell ref="F271:G271"/>
    <mergeCell ref="F273:G273"/>
    <mergeCell ref="F275:G275"/>
    <mergeCell ref="A3:G3"/>
    <mergeCell ref="A4:G4"/>
    <mergeCell ref="A6:A7"/>
    <mergeCell ref="B6:B7"/>
    <mergeCell ref="C6:D6"/>
    <mergeCell ref="E6:E7"/>
    <mergeCell ref="F6:F7"/>
    <mergeCell ref="G6:G7"/>
    <mergeCell ref="B69:G69"/>
    <mergeCell ref="B9:G9"/>
    <mergeCell ref="B10:G10"/>
    <mergeCell ref="B15:G15"/>
    <mergeCell ref="B20:G20"/>
    <mergeCell ref="B25:G25"/>
    <mergeCell ref="B28:G28"/>
    <mergeCell ref="B31:G31"/>
    <mergeCell ref="B36:G36"/>
    <mergeCell ref="B41:G41"/>
    <mergeCell ref="B46:G46"/>
    <mergeCell ref="B59:G59"/>
    <mergeCell ref="B136:G136"/>
    <mergeCell ref="B74:G74"/>
    <mergeCell ref="B75:G75"/>
    <mergeCell ref="B82:G82"/>
    <mergeCell ref="B85:G85"/>
    <mergeCell ref="B90:G90"/>
    <mergeCell ref="B93:G93"/>
    <mergeCell ref="B95:G95"/>
    <mergeCell ref="B100:G100"/>
    <mergeCell ref="B105:G105"/>
    <mergeCell ref="B106:G106"/>
    <mergeCell ref="B131:G131"/>
    <mergeCell ref="B219:G219"/>
    <mergeCell ref="B141:G141"/>
    <mergeCell ref="B155:G155"/>
    <mergeCell ref="B160:G160"/>
    <mergeCell ref="B161:G161"/>
    <mergeCell ref="B174:G174"/>
    <mergeCell ref="B185:G185"/>
    <mergeCell ref="B190:G190"/>
    <mergeCell ref="B195:G195"/>
    <mergeCell ref="B197:G197"/>
    <mergeCell ref="B211:G211"/>
    <mergeCell ref="B214:G214"/>
    <mergeCell ref="D273:E273"/>
    <mergeCell ref="D275:E275"/>
    <mergeCell ref="D267:E267"/>
    <mergeCell ref="D269:E269"/>
    <mergeCell ref="D271:E271"/>
  </mergeCells>
  <pageMargins left="0.51181102362204722" right="0.31496062992125984" top="0.55118110236220474" bottom="0.55118110236220474" header="0" footer="0"/>
  <pageSetup paperSize="9" scale="6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3"/>
  <sheetViews>
    <sheetView zoomScale="85" zoomScaleNormal="85" workbookViewId="0">
      <selection sqref="A1:S1"/>
    </sheetView>
  </sheetViews>
  <sheetFormatPr defaultRowHeight="15.75" x14ac:dyDescent="0.2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61"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x14ac:dyDescent="0.25">
      <c r="A2" s="1127" t="s">
        <v>186</v>
      </c>
      <c r="B2" s="1127"/>
      <c r="C2" s="1127"/>
      <c r="D2" s="1127"/>
      <c r="E2" s="1127"/>
      <c r="F2" s="1127"/>
      <c r="G2" s="1127"/>
      <c r="H2" s="1127"/>
      <c r="I2" s="1127"/>
      <c r="J2" s="1127"/>
      <c r="K2" s="1127"/>
      <c r="L2" s="1127"/>
    </row>
    <row r="4" spans="1:12" s="12" customFormat="1" ht="25.5" customHeight="1" x14ac:dyDescent="0.25">
      <c r="A4" s="1128" t="s">
        <v>26</v>
      </c>
      <c r="B4" s="1129" t="s">
        <v>37</v>
      </c>
      <c r="C4" s="1129" t="s">
        <v>38</v>
      </c>
      <c r="D4" s="1129" t="s">
        <v>39</v>
      </c>
      <c r="E4" s="1130" t="s">
        <v>45</v>
      </c>
      <c r="F4" s="1130"/>
      <c r="G4" s="1130"/>
      <c r="H4" s="1130"/>
      <c r="I4" s="1130" t="s">
        <v>40</v>
      </c>
      <c r="J4" s="1130"/>
      <c r="K4" s="1130"/>
      <c r="L4" s="1130"/>
    </row>
    <row r="5" spans="1:12" s="12" customFormat="1" ht="15.75" customHeight="1" x14ac:dyDescent="0.25">
      <c r="A5" s="1128"/>
      <c r="B5" s="1129"/>
      <c r="C5" s="1129"/>
      <c r="D5" s="1129"/>
      <c r="E5" s="1126" t="s">
        <v>41</v>
      </c>
      <c r="F5" s="1126" t="s">
        <v>42</v>
      </c>
      <c r="G5" s="1126"/>
      <c r="H5" s="1126"/>
      <c r="I5" s="1131" t="s">
        <v>41</v>
      </c>
      <c r="J5" s="1126" t="s">
        <v>42</v>
      </c>
      <c r="K5" s="1126"/>
      <c r="L5" s="1126"/>
    </row>
    <row r="6" spans="1:12" s="12" customFormat="1" ht="33" customHeight="1" x14ac:dyDescent="0.25">
      <c r="A6" s="1128"/>
      <c r="B6" s="1129"/>
      <c r="C6" s="1129"/>
      <c r="D6" s="1129"/>
      <c r="E6" s="1126"/>
      <c r="F6" s="83" t="s">
        <v>44</v>
      </c>
      <c r="G6" s="83" t="s">
        <v>43</v>
      </c>
      <c r="H6" s="83" t="s">
        <v>27</v>
      </c>
      <c r="I6" s="1131"/>
      <c r="J6" s="108" t="s">
        <v>44</v>
      </c>
      <c r="K6" s="108" t="s">
        <v>43</v>
      </c>
      <c r="L6" s="83" t="s">
        <v>27</v>
      </c>
    </row>
    <row r="7" spans="1:12" s="12" customFormat="1" x14ac:dyDescent="0.25">
      <c r="A7" s="1" t="s">
        <v>28</v>
      </c>
      <c r="B7" s="6">
        <v>2</v>
      </c>
      <c r="C7" s="1" t="s">
        <v>103</v>
      </c>
      <c r="D7" s="6">
        <v>4</v>
      </c>
      <c r="E7" s="83" t="s">
        <v>155</v>
      </c>
      <c r="F7" s="83">
        <v>6</v>
      </c>
      <c r="G7" s="83" t="s">
        <v>29</v>
      </c>
      <c r="H7" s="83">
        <v>8</v>
      </c>
      <c r="I7" s="108" t="s">
        <v>30</v>
      </c>
      <c r="J7" s="108">
        <v>10</v>
      </c>
      <c r="K7" s="108" t="s">
        <v>31</v>
      </c>
      <c r="L7" s="83">
        <v>12</v>
      </c>
    </row>
    <row r="8" spans="1:12" s="37" customFormat="1" ht="31.5" x14ac:dyDescent="0.25">
      <c r="A8" s="2">
        <v>1</v>
      </c>
      <c r="B8" s="36" t="s">
        <v>48</v>
      </c>
      <c r="C8" s="4"/>
      <c r="D8" s="4"/>
      <c r="E8" s="27"/>
      <c r="F8" s="27"/>
      <c r="G8" s="27"/>
      <c r="H8" s="27"/>
      <c r="I8" s="109"/>
      <c r="J8" s="109"/>
      <c r="K8" s="109"/>
      <c r="L8" s="84"/>
    </row>
    <row r="9" spans="1:12" s="37" customFormat="1" ht="98.25" customHeight="1" x14ac:dyDescent="0.25">
      <c r="A9" s="3" t="s">
        <v>46</v>
      </c>
      <c r="B9" s="38" t="s">
        <v>49</v>
      </c>
      <c r="C9" s="4"/>
      <c r="D9" s="4"/>
      <c r="E9" s="20">
        <f t="shared" ref="E9:L9" si="0">SUM(E10:E12)</f>
        <v>20823.465999999997</v>
      </c>
      <c r="F9" s="20">
        <f t="shared" si="0"/>
        <v>0</v>
      </c>
      <c r="G9" s="20">
        <f t="shared" si="0"/>
        <v>0</v>
      </c>
      <c r="H9" s="20">
        <f t="shared" si="0"/>
        <v>20823.465999999997</v>
      </c>
      <c r="I9" s="94">
        <f t="shared" si="0"/>
        <v>9145.2199999999993</v>
      </c>
      <c r="J9" s="85">
        <f t="shared" si="0"/>
        <v>0</v>
      </c>
      <c r="K9" s="85">
        <f t="shared" si="0"/>
        <v>0</v>
      </c>
      <c r="L9" s="85">
        <f t="shared" si="0"/>
        <v>9145.2199999999993</v>
      </c>
    </row>
    <row r="10" spans="1:12" s="18" customFormat="1" ht="25.5" x14ac:dyDescent="0.25">
      <c r="A10" s="28"/>
      <c r="B10" s="29" t="s">
        <v>50</v>
      </c>
      <c r="C10" s="13" t="s">
        <v>32</v>
      </c>
      <c r="D10" s="30" t="s">
        <v>33</v>
      </c>
      <c r="E10" s="31">
        <f t="shared" ref="E10:E21" si="1">SUM(F10:H10)</f>
        <v>11170.18</v>
      </c>
      <c r="F10" s="31">
        <v>0</v>
      </c>
      <c r="G10" s="31">
        <v>0</v>
      </c>
      <c r="H10" s="31">
        <v>11170.18</v>
      </c>
      <c r="I10" s="93">
        <f t="shared" ref="I10:I17" si="2">SUM(J10:L10)</f>
        <v>4833.2299999999996</v>
      </c>
      <c r="J10" s="93">
        <v>0</v>
      </c>
      <c r="K10" s="93">
        <v>0</v>
      </c>
      <c r="L10" s="87">
        <v>4833.2299999999996</v>
      </c>
    </row>
    <row r="11" spans="1:12" s="18" customFormat="1" ht="25.5" x14ac:dyDescent="0.25">
      <c r="A11" s="34"/>
      <c r="B11" s="29" t="s">
        <v>47</v>
      </c>
      <c r="C11" s="13" t="s">
        <v>34</v>
      </c>
      <c r="D11" s="30" t="s">
        <v>33</v>
      </c>
      <c r="E11" s="31">
        <f t="shared" si="1"/>
        <v>5909.49</v>
      </c>
      <c r="F11" s="31">
        <v>0</v>
      </c>
      <c r="G11" s="31">
        <v>0</v>
      </c>
      <c r="H11" s="31">
        <v>5909.49</v>
      </c>
      <c r="I11" s="93">
        <f t="shared" si="2"/>
        <v>3472.61</v>
      </c>
      <c r="J11" s="93">
        <v>0</v>
      </c>
      <c r="K11" s="93">
        <v>0</v>
      </c>
      <c r="L11" s="88">
        <v>3472.61</v>
      </c>
    </row>
    <row r="12" spans="1:12" s="18" customFormat="1" ht="15" customHeight="1" x14ac:dyDescent="0.25">
      <c r="A12" s="34"/>
      <c r="B12" s="29" t="s">
        <v>52</v>
      </c>
      <c r="C12" s="13" t="s">
        <v>51</v>
      </c>
      <c r="D12" s="30" t="s">
        <v>33</v>
      </c>
      <c r="E12" s="32">
        <f t="shared" si="1"/>
        <v>3743.7959999999998</v>
      </c>
      <c r="F12" s="31">
        <v>0</v>
      </c>
      <c r="G12" s="31">
        <v>0</v>
      </c>
      <c r="H12" s="32">
        <v>3743.7959999999998</v>
      </c>
      <c r="I12" s="93">
        <f t="shared" si="2"/>
        <v>839.38</v>
      </c>
      <c r="J12" s="93">
        <v>0</v>
      </c>
      <c r="K12" s="93">
        <v>0</v>
      </c>
      <c r="L12" s="86">
        <v>839.38</v>
      </c>
    </row>
    <row r="13" spans="1:12" s="37" customFormat="1" ht="78.75" x14ac:dyDescent="0.25">
      <c r="A13" s="3" t="s">
        <v>63</v>
      </c>
      <c r="B13" s="38" t="s">
        <v>53</v>
      </c>
      <c r="C13" s="4" t="s">
        <v>51</v>
      </c>
      <c r="D13" s="4" t="s">
        <v>33</v>
      </c>
      <c r="E13" s="39">
        <f t="shared" si="1"/>
        <v>620</v>
      </c>
      <c r="F13" s="39">
        <v>0</v>
      </c>
      <c r="G13" s="39">
        <v>0</v>
      </c>
      <c r="H13" s="39">
        <v>620</v>
      </c>
      <c r="I13" s="94">
        <f t="shared" si="2"/>
        <v>52.43</v>
      </c>
      <c r="J13" s="94">
        <v>0</v>
      </c>
      <c r="K13" s="94">
        <v>0</v>
      </c>
      <c r="L13" s="85">
        <v>52.43</v>
      </c>
    </row>
    <row r="14" spans="1:12" s="37" customFormat="1" ht="63" x14ac:dyDescent="0.25">
      <c r="A14" s="3" t="s">
        <v>65</v>
      </c>
      <c r="B14" s="38" t="s">
        <v>54</v>
      </c>
      <c r="C14" s="4" t="s">
        <v>51</v>
      </c>
      <c r="D14" s="4" t="s">
        <v>33</v>
      </c>
      <c r="E14" s="39">
        <f t="shared" si="1"/>
        <v>0</v>
      </c>
      <c r="F14" s="39">
        <v>0</v>
      </c>
      <c r="G14" s="39">
        <v>0</v>
      </c>
      <c r="H14" s="20">
        <v>0</v>
      </c>
      <c r="I14" s="94">
        <f t="shared" si="2"/>
        <v>551.91</v>
      </c>
      <c r="J14" s="94">
        <v>0</v>
      </c>
      <c r="K14" s="94">
        <v>0</v>
      </c>
      <c r="L14" s="85">
        <v>551.91</v>
      </c>
    </row>
    <row r="15" spans="1:12" s="37" customFormat="1" ht="78.75" x14ac:dyDescent="0.25">
      <c r="A15" s="3" t="s">
        <v>66</v>
      </c>
      <c r="B15" s="38" t="s">
        <v>55</v>
      </c>
      <c r="C15" s="4" t="s">
        <v>51</v>
      </c>
      <c r="D15" s="4" t="s">
        <v>33</v>
      </c>
      <c r="E15" s="39">
        <f t="shared" si="1"/>
        <v>1150</v>
      </c>
      <c r="F15" s="39">
        <v>0</v>
      </c>
      <c r="G15" s="39">
        <v>0</v>
      </c>
      <c r="H15" s="20">
        <v>1150</v>
      </c>
      <c r="I15" s="94">
        <f t="shared" si="2"/>
        <v>287.5</v>
      </c>
      <c r="J15" s="94">
        <v>0</v>
      </c>
      <c r="K15" s="94">
        <v>0</v>
      </c>
      <c r="L15" s="85">
        <f>H15/4</f>
        <v>287.5</v>
      </c>
    </row>
    <row r="16" spans="1:12" s="37" customFormat="1" ht="78.75" x14ac:dyDescent="0.25">
      <c r="A16" s="40" t="s">
        <v>67</v>
      </c>
      <c r="B16" s="41" t="s">
        <v>56</v>
      </c>
      <c r="C16" s="11" t="s">
        <v>60</v>
      </c>
      <c r="D16" s="4" t="s">
        <v>33</v>
      </c>
      <c r="E16" s="39">
        <f t="shared" si="1"/>
        <v>80.28</v>
      </c>
      <c r="F16" s="39">
        <v>0</v>
      </c>
      <c r="G16" s="39">
        <v>0</v>
      </c>
      <c r="H16" s="39">
        <v>80.28</v>
      </c>
      <c r="I16" s="94">
        <f t="shared" si="2"/>
        <v>0</v>
      </c>
      <c r="J16" s="94">
        <v>0</v>
      </c>
      <c r="K16" s="94">
        <v>0</v>
      </c>
      <c r="L16" s="89">
        <v>0</v>
      </c>
    </row>
    <row r="17" spans="1:12" s="37" customFormat="1" ht="78.75" x14ac:dyDescent="0.25">
      <c r="A17" s="3" t="s">
        <v>68</v>
      </c>
      <c r="B17" s="38" t="s">
        <v>57</v>
      </c>
      <c r="C17" s="4" t="s">
        <v>51</v>
      </c>
      <c r="D17" s="4" t="s">
        <v>33</v>
      </c>
      <c r="E17" s="39">
        <f t="shared" si="1"/>
        <v>635</v>
      </c>
      <c r="F17" s="39">
        <v>0</v>
      </c>
      <c r="G17" s="39">
        <v>0</v>
      </c>
      <c r="H17" s="39">
        <v>635</v>
      </c>
      <c r="I17" s="94">
        <f t="shared" si="2"/>
        <v>333.16</v>
      </c>
      <c r="J17" s="94">
        <v>0</v>
      </c>
      <c r="K17" s="94">
        <v>0</v>
      </c>
      <c r="L17" s="85">
        <v>333.16</v>
      </c>
    </row>
    <row r="18" spans="1:12" s="37" customFormat="1" ht="63.75" customHeight="1" x14ac:dyDescent="0.25">
      <c r="A18" s="3" t="s">
        <v>64</v>
      </c>
      <c r="B18" s="38" t="s">
        <v>58</v>
      </c>
      <c r="C18" s="4" t="s">
        <v>59</v>
      </c>
      <c r="D18" s="4" t="s">
        <v>33</v>
      </c>
      <c r="E18" s="39">
        <f t="shared" si="1"/>
        <v>3039.29</v>
      </c>
      <c r="F18" s="39">
        <f t="shared" ref="F18:L18" si="3">SUM(F19:F20)</f>
        <v>1652.29</v>
      </c>
      <c r="G18" s="39">
        <f t="shared" si="3"/>
        <v>876</v>
      </c>
      <c r="H18" s="39">
        <f t="shared" si="3"/>
        <v>511</v>
      </c>
      <c r="I18" s="94">
        <f t="shared" si="3"/>
        <v>1870.68</v>
      </c>
      <c r="J18" s="94">
        <f t="shared" si="3"/>
        <v>0</v>
      </c>
      <c r="K18" s="94">
        <f t="shared" si="3"/>
        <v>0</v>
      </c>
      <c r="L18" s="89">
        <f t="shared" si="3"/>
        <v>1870.68</v>
      </c>
    </row>
    <row r="19" spans="1:12" s="18" customFormat="1" ht="51" x14ac:dyDescent="0.25">
      <c r="A19" s="34"/>
      <c r="B19" s="43" t="s">
        <v>61</v>
      </c>
      <c r="C19" s="13" t="s">
        <v>62</v>
      </c>
      <c r="D19" s="30" t="s">
        <v>33</v>
      </c>
      <c r="E19" s="32">
        <f t="shared" si="1"/>
        <v>0</v>
      </c>
      <c r="F19" s="35">
        <v>0</v>
      </c>
      <c r="G19" s="35">
        <v>0</v>
      </c>
      <c r="H19" s="35">
        <v>0</v>
      </c>
      <c r="I19" s="90">
        <f>SUM(J19:L19)</f>
        <v>0</v>
      </c>
      <c r="J19" s="90">
        <v>0</v>
      </c>
      <c r="K19" s="90">
        <v>0</v>
      </c>
      <c r="L19" s="88">
        <v>0</v>
      </c>
    </row>
    <row r="20" spans="1:12" s="18" customFormat="1" ht="51" x14ac:dyDescent="0.25">
      <c r="A20" s="34"/>
      <c r="B20" s="43" t="s">
        <v>5</v>
      </c>
      <c r="C20" s="13" t="s">
        <v>62</v>
      </c>
      <c r="D20" s="30" t="s">
        <v>33</v>
      </c>
      <c r="E20" s="32">
        <f t="shared" si="1"/>
        <v>3039.29</v>
      </c>
      <c r="F20" s="44">
        <v>1652.29</v>
      </c>
      <c r="G20" s="44">
        <v>876</v>
      </c>
      <c r="H20" s="44">
        <v>511</v>
      </c>
      <c r="I20" s="90">
        <f>SUM(J20:L20)</f>
        <v>1870.68</v>
      </c>
      <c r="J20" s="90">
        <v>0</v>
      </c>
      <c r="K20" s="90">
        <v>0</v>
      </c>
      <c r="L20" s="90">
        <v>1870.68</v>
      </c>
    </row>
    <row r="21" spans="1:12" s="37" customFormat="1" ht="63.75" customHeight="1" x14ac:dyDescent="0.25">
      <c r="A21" s="40" t="s">
        <v>69</v>
      </c>
      <c r="B21" s="41" t="s">
        <v>70</v>
      </c>
      <c r="C21" s="11" t="s">
        <v>62</v>
      </c>
      <c r="D21" s="4" t="s">
        <v>33</v>
      </c>
      <c r="E21" s="39">
        <f t="shared" si="1"/>
        <v>125.04</v>
      </c>
      <c r="F21" s="39">
        <v>0</v>
      </c>
      <c r="G21" s="39">
        <v>125.04</v>
      </c>
      <c r="H21" s="39">
        <v>0</v>
      </c>
      <c r="I21" s="94">
        <f>SUM(J21:L21)</f>
        <v>0</v>
      </c>
      <c r="J21" s="94">
        <v>0</v>
      </c>
      <c r="K21" s="94">
        <v>0</v>
      </c>
      <c r="L21" s="89">
        <v>0</v>
      </c>
    </row>
    <row r="22" spans="1:12" s="37" customFormat="1" ht="63" x14ac:dyDescent="0.25">
      <c r="A22" s="3" t="s">
        <v>71</v>
      </c>
      <c r="B22" s="38" t="s">
        <v>6</v>
      </c>
      <c r="C22" s="4" t="s">
        <v>62</v>
      </c>
      <c r="D22" s="4" t="s">
        <v>33</v>
      </c>
      <c r="E22" s="39">
        <f t="shared" ref="E22:L22" si="4">SUM(E23:E25)</f>
        <v>4617.32</v>
      </c>
      <c r="F22" s="39">
        <f t="shared" si="4"/>
        <v>2902.74</v>
      </c>
      <c r="G22" s="39">
        <f t="shared" si="4"/>
        <v>1714.58</v>
      </c>
      <c r="H22" s="39">
        <f t="shared" si="4"/>
        <v>0</v>
      </c>
      <c r="I22" s="94">
        <f t="shared" si="4"/>
        <v>1244.7800000000002</v>
      </c>
      <c r="J22" s="94">
        <f t="shared" si="4"/>
        <v>536.33000000000004</v>
      </c>
      <c r="K22" s="94">
        <f t="shared" si="4"/>
        <v>219.21</v>
      </c>
      <c r="L22" s="89">
        <f t="shared" si="4"/>
        <v>489.23999999999995</v>
      </c>
    </row>
    <row r="23" spans="1:12" s="18" customFormat="1" ht="25.5" x14ac:dyDescent="0.25">
      <c r="A23" s="49"/>
      <c r="B23" s="29" t="s">
        <v>72</v>
      </c>
      <c r="C23" s="13" t="s">
        <v>62</v>
      </c>
      <c r="D23" s="30" t="s">
        <v>33</v>
      </c>
      <c r="E23" s="32">
        <f>SUM(F23:H23)</f>
        <v>2902.74</v>
      </c>
      <c r="F23" s="32">
        <v>2902.74</v>
      </c>
      <c r="G23" s="32"/>
      <c r="H23" s="32"/>
      <c r="I23" s="93">
        <f>SUM(J23:L23)</f>
        <v>1016.6700000000001</v>
      </c>
      <c r="J23" s="93">
        <v>536.33000000000004</v>
      </c>
      <c r="K23" s="93"/>
      <c r="L23" s="87">
        <v>480.34</v>
      </c>
    </row>
    <row r="24" spans="1:12" s="18" customFormat="1" ht="38.25" x14ac:dyDescent="0.25">
      <c r="A24" s="50"/>
      <c r="B24" s="51" t="s">
        <v>73</v>
      </c>
      <c r="C24" s="48" t="s">
        <v>59</v>
      </c>
      <c r="D24" s="30" t="s">
        <v>33</v>
      </c>
      <c r="E24" s="32">
        <f>SUM(F24:H24)</f>
        <v>1714.58</v>
      </c>
      <c r="F24" s="32">
        <v>0</v>
      </c>
      <c r="G24" s="31">
        <v>1714.58</v>
      </c>
      <c r="H24" s="32"/>
      <c r="I24" s="93">
        <f>SUM(J24:L24)</f>
        <v>219.21</v>
      </c>
      <c r="J24" s="90">
        <v>0</v>
      </c>
      <c r="K24" s="93">
        <v>219.21</v>
      </c>
      <c r="L24" s="87">
        <f>SUM(M24:O24)</f>
        <v>0</v>
      </c>
    </row>
    <row r="25" spans="1:12" s="18" customFormat="1" ht="38.25" x14ac:dyDescent="0.25">
      <c r="A25" s="34"/>
      <c r="B25" s="43" t="s">
        <v>74</v>
      </c>
      <c r="C25" s="13" t="s">
        <v>59</v>
      </c>
      <c r="D25" s="30" t="s">
        <v>33</v>
      </c>
      <c r="E25" s="32">
        <f>SUM(F25:H25)</f>
        <v>0</v>
      </c>
      <c r="F25" s="35">
        <v>0</v>
      </c>
      <c r="G25" s="35">
        <v>0</v>
      </c>
      <c r="H25" s="35"/>
      <c r="I25" s="93">
        <f>SUM(J25:L25)</f>
        <v>8.9</v>
      </c>
      <c r="J25" s="90">
        <v>0</v>
      </c>
      <c r="K25" s="90">
        <v>0</v>
      </c>
      <c r="L25" s="88">
        <v>8.9</v>
      </c>
    </row>
    <row r="26" spans="1:12" s="37" customFormat="1" ht="110.25" x14ac:dyDescent="0.25">
      <c r="A26" s="3" t="s">
        <v>75</v>
      </c>
      <c r="B26" s="38" t="s">
        <v>76</v>
      </c>
      <c r="C26" s="11" t="s">
        <v>51</v>
      </c>
      <c r="D26" s="4" t="s">
        <v>33</v>
      </c>
      <c r="E26" s="39">
        <f>SUM(F26:H26)</f>
        <v>150</v>
      </c>
      <c r="F26" s="39">
        <v>0</v>
      </c>
      <c r="G26" s="39">
        <v>0</v>
      </c>
      <c r="H26" s="39">
        <v>150</v>
      </c>
      <c r="I26" s="94">
        <f>SUM(J26:L26)</f>
        <v>22.44</v>
      </c>
      <c r="J26" s="94">
        <v>0</v>
      </c>
      <c r="K26" s="94">
        <v>0</v>
      </c>
      <c r="L26" s="89">
        <v>22.44</v>
      </c>
    </row>
    <row r="27" spans="1:12" ht="63" x14ac:dyDescent="0.25">
      <c r="A27" s="15" t="s">
        <v>78</v>
      </c>
      <c r="B27" s="10" t="s">
        <v>77</v>
      </c>
      <c r="C27" s="9"/>
      <c r="D27" s="9"/>
      <c r="E27" s="22"/>
      <c r="F27" s="22"/>
      <c r="G27" s="22"/>
      <c r="H27" s="22"/>
      <c r="I27" s="95"/>
      <c r="J27" s="95"/>
      <c r="K27" s="95"/>
      <c r="L27" s="91"/>
    </row>
    <row r="28" spans="1:12" s="37" customFormat="1" ht="63" x14ac:dyDescent="0.25">
      <c r="A28" s="40" t="s">
        <v>80</v>
      </c>
      <c r="B28" s="41" t="s">
        <v>79</v>
      </c>
      <c r="C28" s="11" t="s">
        <v>88</v>
      </c>
      <c r="D28" s="4" t="s">
        <v>33</v>
      </c>
      <c r="E28" s="39">
        <f>SUM(F28:H28)</f>
        <v>6653.18</v>
      </c>
      <c r="F28" s="39">
        <v>0</v>
      </c>
      <c r="G28" s="39">
        <v>6653.18</v>
      </c>
      <c r="H28" s="39">
        <v>0</v>
      </c>
      <c r="I28" s="94">
        <f>SUM(J28:L28)</f>
        <v>585.12</v>
      </c>
      <c r="J28" s="94">
        <v>0</v>
      </c>
      <c r="K28" s="94">
        <v>533.36</v>
      </c>
      <c r="L28" s="89">
        <v>51.76</v>
      </c>
    </row>
    <row r="29" spans="1:12" s="37" customFormat="1" ht="192" customHeight="1" x14ac:dyDescent="0.25">
      <c r="A29" s="3" t="s">
        <v>81</v>
      </c>
      <c r="B29" s="38" t="s">
        <v>35</v>
      </c>
      <c r="C29" s="4" t="s">
        <v>62</v>
      </c>
      <c r="D29" s="4" t="s">
        <v>33</v>
      </c>
      <c r="E29" s="20">
        <v>0</v>
      </c>
      <c r="F29" s="20">
        <v>0</v>
      </c>
      <c r="G29" s="20">
        <v>0</v>
      </c>
      <c r="H29" s="20">
        <v>0</v>
      </c>
      <c r="I29" s="94">
        <f>SUM(J29:L29)</f>
        <v>0</v>
      </c>
      <c r="J29" s="94">
        <v>0</v>
      </c>
      <c r="K29" s="94">
        <v>0</v>
      </c>
      <c r="L29" s="85">
        <v>0</v>
      </c>
    </row>
    <row r="30" spans="1:12" s="37" customFormat="1" ht="78.75" x14ac:dyDescent="0.25">
      <c r="A30" s="3" t="s">
        <v>83</v>
      </c>
      <c r="B30" s="38" t="s">
        <v>82</v>
      </c>
      <c r="C30" s="4" t="s">
        <v>62</v>
      </c>
      <c r="D30" s="4" t="s">
        <v>33</v>
      </c>
      <c r="E30" s="20">
        <v>0</v>
      </c>
      <c r="F30" s="20">
        <v>0</v>
      </c>
      <c r="G30" s="20">
        <v>0</v>
      </c>
      <c r="H30" s="20">
        <v>0</v>
      </c>
      <c r="I30" s="94">
        <f>SUM(J30:L30)</f>
        <v>0</v>
      </c>
      <c r="J30" s="94">
        <v>0</v>
      </c>
      <c r="K30" s="94">
        <v>0</v>
      </c>
      <c r="L30" s="85">
        <v>0</v>
      </c>
    </row>
    <row r="31" spans="1:12" s="37" customFormat="1" ht="34.5" customHeight="1" x14ac:dyDescent="0.25">
      <c r="A31" s="3" t="s">
        <v>85</v>
      </c>
      <c r="B31" s="38" t="s">
        <v>84</v>
      </c>
      <c r="C31" s="4" t="s">
        <v>62</v>
      </c>
      <c r="D31" s="4" t="s">
        <v>33</v>
      </c>
      <c r="E31" s="20">
        <v>0</v>
      </c>
      <c r="F31" s="20">
        <v>0</v>
      </c>
      <c r="G31" s="20">
        <v>0</v>
      </c>
      <c r="H31" s="20">
        <v>0</v>
      </c>
      <c r="I31" s="94">
        <f>SUM(J31:L31)</f>
        <v>0</v>
      </c>
      <c r="J31" s="94">
        <v>0</v>
      </c>
      <c r="K31" s="94">
        <v>0</v>
      </c>
      <c r="L31" s="85">
        <v>0</v>
      </c>
    </row>
    <row r="32" spans="1:12" s="37" customFormat="1" ht="34.5" customHeight="1" x14ac:dyDescent="0.25">
      <c r="A32" s="3" t="s">
        <v>87</v>
      </c>
      <c r="B32" s="38" t="s">
        <v>86</v>
      </c>
      <c r="C32" s="4" t="s">
        <v>88</v>
      </c>
      <c r="D32" s="4" t="s">
        <v>33</v>
      </c>
      <c r="E32" s="20">
        <f>F32+G32+H32</f>
        <v>1200</v>
      </c>
      <c r="F32" s="20">
        <v>0</v>
      </c>
      <c r="G32" s="20">
        <v>1200</v>
      </c>
      <c r="H32" s="20">
        <v>0</v>
      </c>
      <c r="I32" s="94">
        <f>SUM(J32:L32)</f>
        <v>0</v>
      </c>
      <c r="J32" s="94">
        <v>0</v>
      </c>
      <c r="K32" s="94">
        <v>0</v>
      </c>
      <c r="L32" s="85">
        <v>0</v>
      </c>
    </row>
    <row r="33" spans="1:13" s="37" customFormat="1" ht="78.75" x14ac:dyDescent="0.25">
      <c r="A33" s="3" t="s">
        <v>90</v>
      </c>
      <c r="B33" s="38" t="s">
        <v>89</v>
      </c>
      <c r="C33" s="4" t="s">
        <v>91</v>
      </c>
      <c r="D33" s="4" t="s">
        <v>33</v>
      </c>
      <c r="E33" s="20">
        <f t="shared" ref="E33:L33" si="5">SUM(E34:E36)</f>
        <v>1200.2</v>
      </c>
      <c r="F33" s="20">
        <f t="shared" si="5"/>
        <v>0</v>
      </c>
      <c r="G33" s="20">
        <f t="shared" si="5"/>
        <v>0</v>
      </c>
      <c r="H33" s="59">
        <f t="shared" si="5"/>
        <v>1200.2</v>
      </c>
      <c r="I33" s="94">
        <f t="shared" si="5"/>
        <v>774</v>
      </c>
      <c r="J33" s="94">
        <f t="shared" si="5"/>
        <v>0</v>
      </c>
      <c r="K33" s="94">
        <f t="shared" si="5"/>
        <v>0</v>
      </c>
      <c r="L33" s="85">
        <f t="shared" si="5"/>
        <v>774</v>
      </c>
    </row>
    <row r="34" spans="1:13" s="52" customFormat="1" ht="51" x14ac:dyDescent="0.25">
      <c r="A34" s="49"/>
      <c r="B34" s="29" t="s">
        <v>92</v>
      </c>
      <c r="C34" s="13" t="s">
        <v>51</v>
      </c>
      <c r="D34" s="13" t="s">
        <v>33</v>
      </c>
      <c r="E34" s="33">
        <f>SUM(F34:H34)</f>
        <v>704</v>
      </c>
      <c r="F34" s="33">
        <v>0</v>
      </c>
      <c r="G34" s="33">
        <v>0</v>
      </c>
      <c r="H34" s="33">
        <v>704</v>
      </c>
      <c r="I34" s="93">
        <f>SUM(J34:L34)</f>
        <v>774</v>
      </c>
      <c r="J34" s="93">
        <v>0</v>
      </c>
      <c r="K34" s="93">
        <v>0</v>
      </c>
      <c r="L34" s="86">
        <v>774</v>
      </c>
    </row>
    <row r="35" spans="1:13" s="52" customFormat="1" ht="38.25" x14ac:dyDescent="0.25">
      <c r="A35" s="49"/>
      <c r="B35" s="29" t="s">
        <v>93</v>
      </c>
      <c r="C35" s="13" t="s">
        <v>91</v>
      </c>
      <c r="D35" s="13" t="s">
        <v>33</v>
      </c>
      <c r="E35" s="33">
        <f>SUM(F35:H35)</f>
        <v>109</v>
      </c>
      <c r="F35" s="33">
        <v>0</v>
      </c>
      <c r="G35" s="33">
        <v>0</v>
      </c>
      <c r="H35" s="32">
        <v>109</v>
      </c>
      <c r="I35" s="93">
        <f>SUM(J35:L35)</f>
        <v>0</v>
      </c>
      <c r="J35" s="93">
        <v>0</v>
      </c>
      <c r="K35" s="93">
        <v>0</v>
      </c>
      <c r="L35" s="86">
        <v>0</v>
      </c>
    </row>
    <row r="36" spans="1:13" s="52" customFormat="1" ht="25.5" x14ac:dyDescent="0.25">
      <c r="A36" s="49"/>
      <c r="B36" s="29" t="s">
        <v>94</v>
      </c>
      <c r="C36" s="13" t="s">
        <v>34</v>
      </c>
      <c r="D36" s="13" t="s">
        <v>33</v>
      </c>
      <c r="E36" s="33">
        <f>SUM(F36:H36)</f>
        <v>387.2</v>
      </c>
      <c r="F36" s="33">
        <v>0</v>
      </c>
      <c r="G36" s="33">
        <v>0</v>
      </c>
      <c r="H36" s="32">
        <v>387.2</v>
      </c>
      <c r="I36" s="93">
        <f>SUM(J36:L36)</f>
        <v>0</v>
      </c>
      <c r="J36" s="93">
        <v>0</v>
      </c>
      <c r="K36" s="93">
        <v>0</v>
      </c>
      <c r="L36" s="86">
        <v>0</v>
      </c>
      <c r="M36"/>
    </row>
    <row r="37" spans="1:13" s="37" customFormat="1" ht="63" x14ac:dyDescent="0.25">
      <c r="A37" s="3" t="s">
        <v>96</v>
      </c>
      <c r="B37" s="38" t="s">
        <v>95</v>
      </c>
      <c r="C37" s="4" t="s">
        <v>62</v>
      </c>
      <c r="D37" s="4" t="s">
        <v>33</v>
      </c>
      <c r="E37" s="20">
        <v>0</v>
      </c>
      <c r="F37" s="20">
        <v>0</v>
      </c>
      <c r="G37" s="20">
        <v>0</v>
      </c>
      <c r="H37" s="20">
        <v>0</v>
      </c>
      <c r="I37" s="94">
        <v>0</v>
      </c>
      <c r="J37" s="94">
        <v>0</v>
      </c>
      <c r="K37" s="94">
        <v>0</v>
      </c>
      <c r="L37" s="85">
        <v>0</v>
      </c>
    </row>
    <row r="38" spans="1:13" s="37" customFormat="1" ht="110.25" x14ac:dyDescent="0.25">
      <c r="A38" s="3" t="s">
        <v>98</v>
      </c>
      <c r="B38" s="38" t="s">
        <v>97</v>
      </c>
      <c r="C38" s="4" t="s">
        <v>99</v>
      </c>
      <c r="D38" s="4" t="s">
        <v>33</v>
      </c>
      <c r="E38" s="20">
        <v>0</v>
      </c>
      <c r="F38" s="20">
        <v>0</v>
      </c>
      <c r="G38" s="20">
        <v>0</v>
      </c>
      <c r="H38" s="20">
        <v>0</v>
      </c>
      <c r="I38" s="94">
        <v>0</v>
      </c>
      <c r="J38" s="94">
        <v>0</v>
      </c>
      <c r="K38" s="94">
        <v>0</v>
      </c>
      <c r="L38" s="85">
        <v>0</v>
      </c>
    </row>
    <row r="39" spans="1:13" s="18" customFormat="1" ht="51" x14ac:dyDescent="0.25">
      <c r="A39" s="49"/>
      <c r="B39" s="29" t="s">
        <v>100</v>
      </c>
      <c r="C39" s="13" t="s">
        <v>99</v>
      </c>
      <c r="D39" s="13" t="s">
        <v>33</v>
      </c>
      <c r="E39" s="33">
        <v>0</v>
      </c>
      <c r="F39" s="33">
        <v>0</v>
      </c>
      <c r="G39" s="33">
        <v>0</v>
      </c>
      <c r="H39" s="33">
        <v>0</v>
      </c>
      <c r="I39" s="93">
        <v>0</v>
      </c>
      <c r="J39" s="93">
        <v>0</v>
      </c>
      <c r="K39" s="93">
        <v>0</v>
      </c>
      <c r="L39" s="86">
        <v>0</v>
      </c>
    </row>
    <row r="40" spans="1:13" s="18" customFormat="1" ht="51" x14ac:dyDescent="0.25">
      <c r="A40" s="49"/>
      <c r="B40" s="29" t="s">
        <v>101</v>
      </c>
      <c r="C40" s="13" t="s">
        <v>99</v>
      </c>
      <c r="D40" s="13" t="s">
        <v>33</v>
      </c>
      <c r="E40" s="33">
        <v>0</v>
      </c>
      <c r="F40" s="33">
        <v>0</v>
      </c>
      <c r="G40" s="33">
        <v>0</v>
      </c>
      <c r="H40" s="33">
        <v>0</v>
      </c>
      <c r="I40" s="93">
        <v>0</v>
      </c>
      <c r="J40" s="93">
        <v>0</v>
      </c>
      <c r="K40" s="93">
        <v>0</v>
      </c>
      <c r="L40" s="86">
        <v>0</v>
      </c>
    </row>
    <row r="41" spans="1:13" ht="31.5" x14ac:dyDescent="0.25">
      <c r="A41" s="16" t="s">
        <v>103</v>
      </c>
      <c r="B41" s="8" t="s">
        <v>102</v>
      </c>
      <c r="C41" s="4"/>
      <c r="D41" s="26"/>
      <c r="E41" s="24"/>
      <c r="F41" s="24"/>
      <c r="G41" s="24"/>
      <c r="H41" s="24"/>
      <c r="I41" s="110"/>
      <c r="J41" s="110"/>
      <c r="K41" s="110"/>
      <c r="L41" s="92"/>
    </row>
    <row r="42" spans="1:13" s="37" customFormat="1" ht="110.25" x14ac:dyDescent="0.25">
      <c r="A42" s="3" t="s">
        <v>105</v>
      </c>
      <c r="B42" s="38" t="s">
        <v>104</v>
      </c>
      <c r="C42" s="4" t="s">
        <v>99</v>
      </c>
      <c r="D42" s="4" t="s">
        <v>33</v>
      </c>
      <c r="E42" s="39">
        <f t="shared" ref="E42:L42" si="6">SUM(E43:E47)</f>
        <v>10105.14</v>
      </c>
      <c r="F42" s="39">
        <f t="shared" si="6"/>
        <v>0</v>
      </c>
      <c r="G42" s="39">
        <f t="shared" si="6"/>
        <v>715.14</v>
      </c>
      <c r="H42" s="39">
        <f t="shared" si="6"/>
        <v>9390</v>
      </c>
      <c r="I42" s="94">
        <f t="shared" si="6"/>
        <v>3319.65</v>
      </c>
      <c r="J42" s="94">
        <f t="shared" si="6"/>
        <v>507.23</v>
      </c>
      <c r="K42" s="94">
        <f t="shared" si="6"/>
        <v>464.92</v>
      </c>
      <c r="L42" s="89">
        <f t="shared" si="6"/>
        <v>2347.5</v>
      </c>
    </row>
    <row r="43" spans="1:13" ht="63" x14ac:dyDescent="0.25">
      <c r="A43" s="1" t="s">
        <v>1</v>
      </c>
      <c r="B43" s="5" t="s">
        <v>106</v>
      </c>
      <c r="C43" s="6" t="s">
        <v>59</v>
      </c>
      <c r="D43" s="6" t="s">
        <v>33</v>
      </c>
      <c r="E43" s="23">
        <f t="shared" ref="E43:E48" si="7">SUM(F43:H43)</f>
        <v>715.14</v>
      </c>
      <c r="F43" s="23">
        <v>0</v>
      </c>
      <c r="G43" s="22">
        <v>715.14</v>
      </c>
      <c r="H43" s="23">
        <v>0</v>
      </c>
      <c r="I43" s="95">
        <f>SUM(J43:L43)</f>
        <v>972.15000000000009</v>
      </c>
      <c r="J43" s="95">
        <v>507.23</v>
      </c>
      <c r="K43" s="95">
        <v>464.92</v>
      </c>
      <c r="L43" s="82">
        <v>0</v>
      </c>
    </row>
    <row r="44" spans="1:13" ht="78.75" x14ac:dyDescent="0.25">
      <c r="A44" s="1" t="s">
        <v>0</v>
      </c>
      <c r="B44" s="5" t="s">
        <v>107</v>
      </c>
      <c r="C44" s="6" t="s">
        <v>108</v>
      </c>
      <c r="D44" s="6" t="s">
        <v>33</v>
      </c>
      <c r="E44" s="23">
        <f t="shared" si="7"/>
        <v>0</v>
      </c>
      <c r="F44" s="23">
        <v>0</v>
      </c>
      <c r="G44" s="23">
        <v>0</v>
      </c>
      <c r="H44" s="23">
        <v>0</v>
      </c>
      <c r="I44" s="95">
        <v>0</v>
      </c>
      <c r="J44" s="95">
        <v>0</v>
      </c>
      <c r="K44" s="95">
        <v>0</v>
      </c>
      <c r="L44" s="82">
        <v>0</v>
      </c>
    </row>
    <row r="45" spans="1:13" ht="78.75" x14ac:dyDescent="0.25">
      <c r="A45" s="1" t="s">
        <v>2</v>
      </c>
      <c r="B45" s="5" t="s">
        <v>109</v>
      </c>
      <c r="C45" s="6" t="s">
        <v>99</v>
      </c>
      <c r="D45" s="6" t="s">
        <v>33</v>
      </c>
      <c r="E45" s="23">
        <f t="shared" si="7"/>
        <v>0</v>
      </c>
      <c r="F45" s="23">
        <v>0</v>
      </c>
      <c r="G45" s="23">
        <v>0</v>
      </c>
      <c r="H45" s="23">
        <v>0</v>
      </c>
      <c r="I45" s="95">
        <v>0</v>
      </c>
      <c r="J45" s="95">
        <v>0</v>
      </c>
      <c r="K45" s="95">
        <v>0</v>
      </c>
      <c r="L45" s="82">
        <v>0</v>
      </c>
    </row>
    <row r="46" spans="1:13" ht="126" x14ac:dyDescent="0.25">
      <c r="A46" s="1" t="s">
        <v>3</v>
      </c>
      <c r="B46" s="5" t="s">
        <v>110</v>
      </c>
      <c r="C46" s="6" t="s">
        <v>36</v>
      </c>
      <c r="D46" s="6" t="s">
        <v>33</v>
      </c>
      <c r="E46" s="23">
        <f t="shared" si="7"/>
        <v>9390</v>
      </c>
      <c r="F46" s="23">
        <v>0</v>
      </c>
      <c r="G46" s="23">
        <v>0</v>
      </c>
      <c r="H46" s="22">
        <v>9390</v>
      </c>
      <c r="I46" s="95">
        <f>SUM(J46:L46)</f>
        <v>2347.5</v>
      </c>
      <c r="J46" s="95">
        <v>0</v>
      </c>
      <c r="K46" s="95">
        <v>0</v>
      </c>
      <c r="L46" s="82">
        <f>H46/4</f>
        <v>2347.5</v>
      </c>
    </row>
    <row r="47" spans="1:13" ht="47.25" x14ac:dyDescent="0.25">
      <c r="A47" s="1" t="s">
        <v>4</v>
      </c>
      <c r="B47" s="5" t="s">
        <v>111</v>
      </c>
      <c r="C47" s="6" t="s">
        <v>62</v>
      </c>
      <c r="D47" s="6" t="s">
        <v>33</v>
      </c>
      <c r="E47" s="23">
        <f t="shared" si="7"/>
        <v>0</v>
      </c>
      <c r="F47" s="23">
        <v>0</v>
      </c>
      <c r="G47" s="23">
        <v>0</v>
      </c>
      <c r="H47" s="23">
        <v>0</v>
      </c>
      <c r="I47" s="95">
        <f>SUM(J47:L47)</f>
        <v>0</v>
      </c>
      <c r="J47" s="95">
        <v>0</v>
      </c>
      <c r="K47" s="95">
        <v>0</v>
      </c>
      <c r="L47" s="82">
        <v>0</v>
      </c>
    </row>
    <row r="48" spans="1:13" s="37" customFormat="1" ht="63" x14ac:dyDescent="0.25">
      <c r="A48" s="40" t="s">
        <v>113</v>
      </c>
      <c r="B48" s="41" t="s">
        <v>112</v>
      </c>
      <c r="C48" s="11" t="s">
        <v>59</v>
      </c>
      <c r="D48" s="4" t="s">
        <v>33</v>
      </c>
      <c r="E48" s="39">
        <f t="shared" si="7"/>
        <v>881.31</v>
      </c>
      <c r="F48" s="39">
        <v>0</v>
      </c>
      <c r="G48" s="39">
        <v>881.31</v>
      </c>
      <c r="H48" s="39">
        <v>0</v>
      </c>
      <c r="I48" s="94">
        <f>SUM(J48:L48)</f>
        <v>45.69</v>
      </c>
      <c r="J48" s="94">
        <v>42.08</v>
      </c>
      <c r="K48" s="94">
        <v>0</v>
      </c>
      <c r="L48" s="89">
        <v>3.61</v>
      </c>
    </row>
    <row r="49" spans="1:13" s="37" customFormat="1" ht="94.5" x14ac:dyDescent="0.25">
      <c r="A49" s="40" t="s">
        <v>115</v>
      </c>
      <c r="B49" s="41" t="s">
        <v>114</v>
      </c>
      <c r="C49" s="11" t="s">
        <v>59</v>
      </c>
      <c r="D49" s="4" t="s">
        <v>33</v>
      </c>
      <c r="E49" s="20">
        <f t="shared" ref="E49:L49" si="8">E50+E54+E55</f>
        <v>1688.4409999999998</v>
      </c>
      <c r="F49" s="20">
        <f t="shared" si="8"/>
        <v>0</v>
      </c>
      <c r="G49" s="20">
        <f t="shared" si="8"/>
        <v>1688.4409999999998</v>
      </c>
      <c r="H49" s="20">
        <f t="shared" si="8"/>
        <v>0</v>
      </c>
      <c r="I49" s="94">
        <f t="shared" si="8"/>
        <v>17146.899999999998</v>
      </c>
      <c r="J49" s="94">
        <f t="shared" si="8"/>
        <v>15282</v>
      </c>
      <c r="K49" s="94">
        <f t="shared" si="8"/>
        <v>590.17999999999995</v>
      </c>
      <c r="L49" s="85">
        <f t="shared" si="8"/>
        <v>1274.72</v>
      </c>
    </row>
    <row r="50" spans="1:13" s="18" customFormat="1" ht="38.25" x14ac:dyDescent="0.25">
      <c r="A50" s="46"/>
      <c r="B50" s="47" t="s">
        <v>116</v>
      </c>
      <c r="C50" s="48" t="s">
        <v>59</v>
      </c>
      <c r="D50" s="13" t="s">
        <v>33</v>
      </c>
      <c r="E50" s="32">
        <f t="shared" ref="E50:L50" si="9">SUM(E51:E53)</f>
        <v>372.54399999999998</v>
      </c>
      <c r="F50" s="32">
        <f t="shared" si="9"/>
        <v>0</v>
      </c>
      <c r="G50" s="58">
        <f t="shared" si="9"/>
        <v>372.54399999999998</v>
      </c>
      <c r="H50" s="32">
        <f t="shared" si="9"/>
        <v>0</v>
      </c>
      <c r="I50" s="93">
        <f t="shared" si="9"/>
        <v>14300.02</v>
      </c>
      <c r="J50" s="93">
        <f t="shared" si="9"/>
        <v>13371.75</v>
      </c>
      <c r="K50" s="93">
        <f t="shared" si="9"/>
        <v>538.30999999999995</v>
      </c>
      <c r="L50" s="87">
        <f t="shared" si="9"/>
        <v>389.96</v>
      </c>
      <c r="M50" s="37"/>
    </row>
    <row r="51" spans="1:13" s="18" customFormat="1" ht="25.5" x14ac:dyDescent="0.25">
      <c r="A51" s="46"/>
      <c r="B51" s="47" t="s">
        <v>117</v>
      </c>
      <c r="C51" s="48" t="s">
        <v>59</v>
      </c>
      <c r="D51" s="13" t="s">
        <v>33</v>
      </c>
      <c r="E51" s="45">
        <f>SUM(F51:H51)</f>
        <v>38.613</v>
      </c>
      <c r="F51" s="45">
        <f>SUM(F52:F56)</f>
        <v>0</v>
      </c>
      <c r="G51" s="45">
        <v>38.613</v>
      </c>
      <c r="H51" s="45">
        <f>SUM(H52:H56)</f>
        <v>0</v>
      </c>
      <c r="I51" s="93">
        <f>SUM(J51:L51)</f>
        <v>8151.49</v>
      </c>
      <c r="J51" s="93">
        <f>SUM(J52:J56)</f>
        <v>7641</v>
      </c>
      <c r="K51" s="93">
        <v>120.53</v>
      </c>
      <c r="L51" s="93">
        <v>389.96</v>
      </c>
      <c r="M51" s="37"/>
    </row>
    <row r="52" spans="1:13" s="18" customFormat="1" ht="25.5" x14ac:dyDescent="0.25">
      <c r="A52" s="46"/>
      <c r="B52" s="47" t="s">
        <v>118</v>
      </c>
      <c r="C52" s="48" t="s">
        <v>59</v>
      </c>
      <c r="D52" s="13" t="s">
        <v>33</v>
      </c>
      <c r="E52" s="45">
        <f>SUM(F52:H52)</f>
        <v>19.867999999999999</v>
      </c>
      <c r="F52" s="45">
        <f>SUM(F53:F57)</f>
        <v>0</v>
      </c>
      <c r="G52" s="45">
        <v>19.867999999999999</v>
      </c>
      <c r="H52" s="45">
        <f>SUM(H53:H57)</f>
        <v>0</v>
      </c>
      <c r="I52" s="93">
        <f>SUM(J52:L52)</f>
        <v>3828.8800000000006</v>
      </c>
      <c r="J52" s="93">
        <f>SUM(J53:J57)</f>
        <v>3820.5000000000005</v>
      </c>
      <c r="K52" s="93">
        <v>8.3800000000000008</v>
      </c>
      <c r="L52" s="93">
        <v>0</v>
      </c>
      <c r="M52" s="37"/>
    </row>
    <row r="53" spans="1:13" s="18" customFormat="1" ht="25.5" x14ac:dyDescent="0.25">
      <c r="A53" s="46"/>
      <c r="B53" s="47" t="s">
        <v>119</v>
      </c>
      <c r="C53" s="48" t="s">
        <v>59</v>
      </c>
      <c r="D53" s="13" t="s">
        <v>33</v>
      </c>
      <c r="E53" s="45">
        <f>SUM(F53:H53)</f>
        <v>314.06299999999999</v>
      </c>
      <c r="F53" s="45">
        <f>SUM(F54:F58)</f>
        <v>0</v>
      </c>
      <c r="G53" s="45">
        <v>314.06299999999999</v>
      </c>
      <c r="H53" s="45">
        <f>SUM(H54:H58)</f>
        <v>0</v>
      </c>
      <c r="I53" s="93">
        <f>SUM(J53:L53)</f>
        <v>2319.65</v>
      </c>
      <c r="J53" s="93">
        <f>SUM(J54:J58)</f>
        <v>1910.25</v>
      </c>
      <c r="K53" s="93">
        <v>409.4</v>
      </c>
      <c r="L53" s="93">
        <v>0</v>
      </c>
    </row>
    <row r="54" spans="1:13" s="18" customFormat="1" ht="25.5" x14ac:dyDescent="0.25">
      <c r="A54" s="46"/>
      <c r="B54" s="47" t="s">
        <v>120</v>
      </c>
      <c r="C54" s="48" t="s">
        <v>59</v>
      </c>
      <c r="D54" s="13" t="s">
        <v>33</v>
      </c>
      <c r="E54" s="45">
        <f>SUM(F54:H54)</f>
        <v>1096.355</v>
      </c>
      <c r="F54" s="45">
        <f>SUM(F55:F59)</f>
        <v>0</v>
      </c>
      <c r="G54" s="45">
        <v>1096.355</v>
      </c>
      <c r="H54" s="45">
        <f>SUM(H55:H59)</f>
        <v>0</v>
      </c>
      <c r="I54" s="93">
        <f>SUM(J54:L54)</f>
        <v>2726.46</v>
      </c>
      <c r="J54" s="93">
        <v>1864.14</v>
      </c>
      <c r="K54" s="93">
        <v>0</v>
      </c>
      <c r="L54" s="93">
        <v>862.32</v>
      </c>
    </row>
    <row r="55" spans="1:13" s="18" customFormat="1" ht="25.5" x14ac:dyDescent="0.25">
      <c r="A55" s="46"/>
      <c r="B55" s="47" t="s">
        <v>121</v>
      </c>
      <c r="C55" s="48" t="s">
        <v>59</v>
      </c>
      <c r="D55" s="13" t="s">
        <v>33</v>
      </c>
      <c r="E55" s="45">
        <f>SUM(F55:H55)</f>
        <v>219.542</v>
      </c>
      <c r="F55" s="45">
        <f>SUM(F56:F60)</f>
        <v>0</v>
      </c>
      <c r="G55" s="45">
        <v>219.542</v>
      </c>
      <c r="H55" s="45">
        <f>SUM(H56:H60)</f>
        <v>0</v>
      </c>
      <c r="I55" s="93">
        <f>SUM(J55:L55)</f>
        <v>120.41999999999999</v>
      </c>
      <c r="J55" s="93">
        <v>46.11</v>
      </c>
      <c r="K55" s="93">
        <v>51.87</v>
      </c>
      <c r="L55" s="93">
        <v>22.44</v>
      </c>
    </row>
    <row r="56" spans="1:13" s="37" customFormat="1" ht="47.25" x14ac:dyDescent="0.25">
      <c r="A56" s="40" t="s">
        <v>122</v>
      </c>
      <c r="B56" s="41" t="s">
        <v>123</v>
      </c>
      <c r="C56" s="11" t="s">
        <v>59</v>
      </c>
      <c r="D56" s="4" t="s">
        <v>33</v>
      </c>
      <c r="E56" s="56">
        <f t="shared" ref="E56:L56" si="10">SUM(E57,E62)</f>
        <v>4910.6909999999998</v>
      </c>
      <c r="F56" s="56">
        <f t="shared" si="10"/>
        <v>0</v>
      </c>
      <c r="G56" s="56">
        <f t="shared" si="10"/>
        <v>4910.6909999999998</v>
      </c>
      <c r="H56" s="56">
        <f t="shared" si="10"/>
        <v>0</v>
      </c>
      <c r="I56" s="94">
        <f t="shared" si="10"/>
        <v>1667.2800000000002</v>
      </c>
      <c r="J56" s="94">
        <f t="shared" si="10"/>
        <v>0</v>
      </c>
      <c r="K56" s="94">
        <f t="shared" si="10"/>
        <v>0</v>
      </c>
      <c r="L56" s="94">
        <f t="shared" si="10"/>
        <v>1667.2800000000002</v>
      </c>
    </row>
    <row r="57" spans="1:13" ht="25.5" x14ac:dyDescent="0.25">
      <c r="A57" s="14"/>
      <c r="B57" s="47" t="s">
        <v>183</v>
      </c>
      <c r="C57" s="48" t="s">
        <v>59</v>
      </c>
      <c r="D57" s="13" t="s">
        <v>33</v>
      </c>
      <c r="E57" s="57">
        <f t="shared" ref="E57:L57" si="11">SUM(E58:E61)</f>
        <v>1527</v>
      </c>
      <c r="F57" s="57">
        <f t="shared" si="11"/>
        <v>0</v>
      </c>
      <c r="G57" s="57">
        <f t="shared" si="11"/>
        <v>1527</v>
      </c>
      <c r="H57" s="57">
        <f t="shared" si="11"/>
        <v>0</v>
      </c>
      <c r="I57" s="95">
        <f t="shared" si="11"/>
        <v>335.6</v>
      </c>
      <c r="J57" s="95">
        <f t="shared" si="11"/>
        <v>0</v>
      </c>
      <c r="K57" s="95">
        <f t="shared" si="11"/>
        <v>0</v>
      </c>
      <c r="L57" s="95">
        <f t="shared" si="11"/>
        <v>335.6</v>
      </c>
    </row>
    <row r="58" spans="1:13" ht="25.5" x14ac:dyDescent="0.25">
      <c r="A58" s="14"/>
      <c r="B58" s="47" t="s">
        <v>124</v>
      </c>
      <c r="C58" s="48" t="s">
        <v>59</v>
      </c>
      <c r="D58" s="13" t="s">
        <v>33</v>
      </c>
      <c r="E58" s="57">
        <f t="shared" ref="E58:E63" si="12">SUM(F58:H58)</f>
        <v>540</v>
      </c>
      <c r="F58" s="57">
        <v>0</v>
      </c>
      <c r="G58" s="57">
        <v>540</v>
      </c>
      <c r="H58" s="57">
        <v>0</v>
      </c>
      <c r="I58" s="95">
        <f>SUM(J58:L58)</f>
        <v>14.44</v>
      </c>
      <c r="J58" s="95">
        <v>0</v>
      </c>
      <c r="K58" s="95">
        <v>0</v>
      </c>
      <c r="L58" s="95">
        <v>14.44</v>
      </c>
    </row>
    <row r="59" spans="1:13" ht="25.5" x14ac:dyDescent="0.25">
      <c r="A59" s="14"/>
      <c r="B59" s="47" t="s">
        <v>125</v>
      </c>
      <c r="C59" s="48" t="s">
        <v>59</v>
      </c>
      <c r="D59" s="13" t="s">
        <v>33</v>
      </c>
      <c r="E59" s="57">
        <f t="shared" si="12"/>
        <v>810</v>
      </c>
      <c r="F59" s="57">
        <v>0</v>
      </c>
      <c r="G59" s="57">
        <v>810</v>
      </c>
      <c r="H59" s="57">
        <v>0</v>
      </c>
      <c r="I59" s="95">
        <f>SUM(J59:L59)</f>
        <v>263.82</v>
      </c>
      <c r="J59" s="95">
        <v>0</v>
      </c>
      <c r="K59" s="95">
        <v>0</v>
      </c>
      <c r="L59" s="95">
        <v>263.82</v>
      </c>
    </row>
    <row r="60" spans="1:13" ht="25.5" x14ac:dyDescent="0.25">
      <c r="A60" s="14"/>
      <c r="B60" s="47" t="s">
        <v>126</v>
      </c>
      <c r="C60" s="48" t="s">
        <v>59</v>
      </c>
      <c r="D60" s="13" t="s">
        <v>33</v>
      </c>
      <c r="E60" s="57">
        <f t="shared" si="12"/>
        <v>81</v>
      </c>
      <c r="F60" s="57">
        <v>0</v>
      </c>
      <c r="G60" s="57">
        <v>81</v>
      </c>
      <c r="H60" s="57">
        <v>0</v>
      </c>
      <c r="I60" s="95">
        <f>SUM(J60:L60)</f>
        <v>40.18</v>
      </c>
      <c r="J60" s="95">
        <v>0</v>
      </c>
      <c r="K60" s="95">
        <v>0</v>
      </c>
      <c r="L60" s="95">
        <v>40.18</v>
      </c>
    </row>
    <row r="61" spans="1:13" ht="25.5" x14ac:dyDescent="0.25">
      <c r="A61" s="14"/>
      <c r="B61" s="47" t="s">
        <v>127</v>
      </c>
      <c r="C61" s="48" t="s">
        <v>59</v>
      </c>
      <c r="D61" s="13" t="s">
        <v>33</v>
      </c>
      <c r="E61" s="57">
        <f t="shared" si="12"/>
        <v>96</v>
      </c>
      <c r="F61" s="57">
        <v>0</v>
      </c>
      <c r="G61" s="57">
        <v>96</v>
      </c>
      <c r="H61" s="57">
        <v>0</v>
      </c>
      <c r="I61" s="95">
        <f>SUM(J61:L61)</f>
        <v>17.16</v>
      </c>
      <c r="J61" s="95">
        <v>0</v>
      </c>
      <c r="K61" s="95">
        <v>0</v>
      </c>
      <c r="L61" s="95">
        <v>17.16</v>
      </c>
    </row>
    <row r="62" spans="1:13" ht="25.5" x14ac:dyDescent="0.25">
      <c r="A62" s="14"/>
      <c r="B62" s="47" t="s">
        <v>128</v>
      </c>
      <c r="C62" s="48" t="s">
        <v>59</v>
      </c>
      <c r="D62" s="13" t="s">
        <v>33</v>
      </c>
      <c r="E62" s="57">
        <f t="shared" si="12"/>
        <v>3383.6909999999998</v>
      </c>
      <c r="F62" s="22">
        <v>0</v>
      </c>
      <c r="G62" s="22">
        <v>3383.6909999999998</v>
      </c>
      <c r="H62" s="22">
        <v>0</v>
      </c>
      <c r="I62" s="95">
        <f>SUM(J62:L62)</f>
        <v>1331.68</v>
      </c>
      <c r="J62" s="95">
        <v>0</v>
      </c>
      <c r="K62" s="95">
        <v>0</v>
      </c>
      <c r="L62" s="91">
        <v>1331.68</v>
      </c>
    </row>
    <row r="63" spans="1:13" s="37" customFormat="1" ht="94.5" x14ac:dyDescent="0.25">
      <c r="A63" s="40" t="s">
        <v>130</v>
      </c>
      <c r="B63" s="41" t="s">
        <v>129</v>
      </c>
      <c r="C63" s="11" t="s">
        <v>59</v>
      </c>
      <c r="D63" s="4" t="s">
        <v>33</v>
      </c>
      <c r="E63" s="39">
        <f t="shared" si="12"/>
        <v>225</v>
      </c>
      <c r="F63" s="39">
        <v>0</v>
      </c>
      <c r="G63" s="39">
        <v>0</v>
      </c>
      <c r="H63" s="39">
        <v>225</v>
      </c>
      <c r="I63" s="94">
        <v>0</v>
      </c>
      <c r="J63" s="94">
        <v>0</v>
      </c>
      <c r="K63" s="94">
        <v>0</v>
      </c>
      <c r="L63" s="89">
        <v>0</v>
      </c>
    </row>
    <row r="64" spans="1:13" ht="31.5" x14ac:dyDescent="0.25">
      <c r="A64" s="15" t="s">
        <v>132</v>
      </c>
      <c r="B64" s="10" t="s">
        <v>131</v>
      </c>
      <c r="C64" s="9" t="s">
        <v>59</v>
      </c>
      <c r="D64" s="6" t="s">
        <v>33</v>
      </c>
      <c r="E64" s="21"/>
      <c r="F64" s="21"/>
      <c r="G64" s="21"/>
      <c r="H64" s="21"/>
      <c r="I64" s="110"/>
      <c r="J64" s="110"/>
      <c r="K64" s="110"/>
      <c r="L64" s="96"/>
    </row>
    <row r="65" spans="1:12" s="37" customFormat="1" ht="78.75" x14ac:dyDescent="0.25">
      <c r="A65" s="40" t="s">
        <v>135</v>
      </c>
      <c r="B65" s="41" t="s">
        <v>133</v>
      </c>
      <c r="C65" s="11" t="s">
        <v>99</v>
      </c>
      <c r="D65" s="4" t="s">
        <v>33</v>
      </c>
      <c r="E65" s="39">
        <f t="shared" ref="E65:L65" si="13">SUM(E66:E69)</f>
        <v>153151.63</v>
      </c>
      <c r="F65" s="39">
        <f t="shared" si="13"/>
        <v>58704</v>
      </c>
      <c r="G65" s="39">
        <f t="shared" si="13"/>
        <v>0</v>
      </c>
      <c r="H65" s="39">
        <f t="shared" si="13"/>
        <v>94447.63</v>
      </c>
      <c r="I65" s="94">
        <f t="shared" si="13"/>
        <v>35199.68</v>
      </c>
      <c r="J65" s="94">
        <f t="shared" si="13"/>
        <v>15303.03</v>
      </c>
      <c r="K65" s="94">
        <f t="shared" si="13"/>
        <v>0</v>
      </c>
      <c r="L65" s="89">
        <f t="shared" si="13"/>
        <v>19896.650000000001</v>
      </c>
    </row>
    <row r="66" spans="1:12" s="18" customFormat="1" ht="88.5" customHeight="1" x14ac:dyDescent="0.25">
      <c r="A66" s="46"/>
      <c r="B66" s="47" t="s">
        <v>134</v>
      </c>
      <c r="C66" s="48" t="s">
        <v>59</v>
      </c>
      <c r="D66" s="13" t="s">
        <v>33</v>
      </c>
      <c r="E66" s="32">
        <f>SUM(F66:H66)</f>
        <v>152448</v>
      </c>
      <c r="F66" s="32">
        <v>58704</v>
      </c>
      <c r="G66" s="32">
        <v>0</v>
      </c>
      <c r="H66" s="32">
        <v>93744</v>
      </c>
      <c r="I66" s="93">
        <f>SUM(J66:L66)</f>
        <v>35199.68</v>
      </c>
      <c r="J66" s="93">
        <v>15303.03</v>
      </c>
      <c r="K66" s="93">
        <v>0</v>
      </c>
      <c r="L66" s="87">
        <v>19896.650000000001</v>
      </c>
    </row>
    <row r="67" spans="1:12" s="18" customFormat="1" ht="51" x14ac:dyDescent="0.25">
      <c r="A67" s="49"/>
      <c r="B67" s="29" t="s">
        <v>136</v>
      </c>
      <c r="C67" s="13" t="s">
        <v>99</v>
      </c>
      <c r="D67" s="13" t="s">
        <v>33</v>
      </c>
      <c r="E67" s="32">
        <f>SUM(F67:H67)</f>
        <v>0</v>
      </c>
      <c r="F67" s="33">
        <v>0</v>
      </c>
      <c r="G67" s="33">
        <v>0</v>
      </c>
      <c r="H67" s="33">
        <v>0</v>
      </c>
      <c r="I67" s="93">
        <f>SUM(J67:L67)</f>
        <v>0</v>
      </c>
      <c r="J67" s="93">
        <v>0</v>
      </c>
      <c r="K67" s="93">
        <v>0</v>
      </c>
      <c r="L67" s="86">
        <v>0</v>
      </c>
    </row>
    <row r="68" spans="1:12" s="18" customFormat="1" ht="51" x14ac:dyDescent="0.25">
      <c r="A68" s="34"/>
      <c r="B68" s="29" t="s">
        <v>137</v>
      </c>
      <c r="C68" s="13" t="s">
        <v>99</v>
      </c>
      <c r="D68" s="13" t="s">
        <v>33</v>
      </c>
      <c r="E68" s="32">
        <f>SUM(F68:H68)</f>
        <v>0</v>
      </c>
      <c r="F68" s="33">
        <v>0</v>
      </c>
      <c r="G68" s="33">
        <v>0</v>
      </c>
      <c r="H68" s="33">
        <v>0</v>
      </c>
      <c r="I68" s="93">
        <f>SUM(J68:L68)</f>
        <v>0</v>
      </c>
      <c r="J68" s="93">
        <v>0</v>
      </c>
      <c r="K68" s="93">
        <v>0</v>
      </c>
      <c r="L68" s="86">
        <v>0</v>
      </c>
    </row>
    <row r="69" spans="1:12" s="18" customFormat="1" ht="102" x14ac:dyDescent="0.25">
      <c r="A69" s="46"/>
      <c r="B69" s="47" t="s">
        <v>138</v>
      </c>
      <c r="C69" s="48" t="s">
        <v>99</v>
      </c>
      <c r="D69" s="13" t="s">
        <v>33</v>
      </c>
      <c r="E69" s="32">
        <f>SUM(F69:H69)</f>
        <v>703.63</v>
      </c>
      <c r="F69" s="32">
        <v>0</v>
      </c>
      <c r="G69" s="32">
        <v>0</v>
      </c>
      <c r="H69" s="32">
        <v>703.63</v>
      </c>
      <c r="I69" s="93">
        <f>SUM(J69:L69)</f>
        <v>0</v>
      </c>
      <c r="J69" s="93">
        <v>0</v>
      </c>
      <c r="K69" s="93">
        <v>0</v>
      </c>
      <c r="L69" s="87">
        <v>0</v>
      </c>
    </row>
    <row r="70" spans="1:12" s="37" customFormat="1" ht="78.75" x14ac:dyDescent="0.25">
      <c r="A70" s="40" t="s">
        <v>140</v>
      </c>
      <c r="B70" s="41" t="s">
        <v>139</v>
      </c>
      <c r="C70" s="11" t="s">
        <v>99</v>
      </c>
      <c r="D70" s="4" t="s">
        <v>33</v>
      </c>
      <c r="E70" s="60">
        <f t="shared" ref="E70:L70" si="14">E71</f>
        <v>1242.19</v>
      </c>
      <c r="F70" s="39">
        <f t="shared" si="14"/>
        <v>0</v>
      </c>
      <c r="G70" s="39">
        <f t="shared" si="14"/>
        <v>892.18999999999994</v>
      </c>
      <c r="H70" s="39">
        <f t="shared" si="14"/>
        <v>350</v>
      </c>
      <c r="I70" s="94">
        <f t="shared" si="14"/>
        <v>0</v>
      </c>
      <c r="J70" s="94">
        <f t="shared" si="14"/>
        <v>0</v>
      </c>
      <c r="K70" s="94">
        <f t="shared" si="14"/>
        <v>0</v>
      </c>
      <c r="L70" s="89">
        <f t="shared" si="14"/>
        <v>0</v>
      </c>
    </row>
    <row r="71" spans="1:12" s="18" customFormat="1" ht="76.5" x14ac:dyDescent="0.25">
      <c r="A71" s="46"/>
      <c r="B71" s="47" t="s">
        <v>141</v>
      </c>
      <c r="C71" s="48" t="s">
        <v>99</v>
      </c>
      <c r="D71" s="13" t="s">
        <v>33</v>
      </c>
      <c r="E71" s="32">
        <f>SUM(F71:H71)</f>
        <v>1242.19</v>
      </c>
      <c r="F71" s="32">
        <v>0</v>
      </c>
      <c r="G71" s="45">
        <f>89.38+802.81</f>
        <v>892.18999999999994</v>
      </c>
      <c r="H71" s="32">
        <v>350</v>
      </c>
      <c r="I71" s="93">
        <f>SUM(J71:L71)</f>
        <v>0</v>
      </c>
      <c r="J71" s="93">
        <v>0</v>
      </c>
      <c r="K71" s="93">
        <v>0</v>
      </c>
      <c r="L71" s="87">
        <v>0</v>
      </c>
    </row>
    <row r="72" spans="1:12" s="37" customFormat="1" ht="78.75" x14ac:dyDescent="0.25">
      <c r="A72" s="40" t="s">
        <v>143</v>
      </c>
      <c r="B72" s="41" t="s">
        <v>142</v>
      </c>
      <c r="C72" s="11" t="s">
        <v>99</v>
      </c>
      <c r="D72" s="4" t="s">
        <v>33</v>
      </c>
      <c r="E72" s="39">
        <f t="shared" ref="E72:L72" si="15">SUM(E73:E75)</f>
        <v>1078.75</v>
      </c>
      <c r="F72" s="39">
        <f t="shared" si="15"/>
        <v>0</v>
      </c>
      <c r="G72" s="39">
        <f t="shared" si="15"/>
        <v>675</v>
      </c>
      <c r="H72" s="39">
        <f t="shared" si="15"/>
        <v>403.75</v>
      </c>
      <c r="I72" s="94">
        <f t="shared" si="15"/>
        <v>0</v>
      </c>
      <c r="J72" s="94">
        <f t="shared" si="15"/>
        <v>0</v>
      </c>
      <c r="K72" s="94">
        <f t="shared" si="15"/>
        <v>0</v>
      </c>
      <c r="L72" s="89">
        <f t="shared" si="15"/>
        <v>0</v>
      </c>
    </row>
    <row r="73" spans="1:12" s="18" customFormat="1" ht="51" x14ac:dyDescent="0.25">
      <c r="A73" s="46"/>
      <c r="B73" s="47" t="s">
        <v>144</v>
      </c>
      <c r="C73" s="48" t="s">
        <v>99</v>
      </c>
      <c r="D73" s="13" t="s">
        <v>33</v>
      </c>
      <c r="E73" s="32">
        <f>SUM(F73:H73)</f>
        <v>405</v>
      </c>
      <c r="F73" s="32">
        <v>0</v>
      </c>
      <c r="G73" s="32">
        <v>270</v>
      </c>
      <c r="H73" s="32">
        <v>135</v>
      </c>
      <c r="I73" s="93">
        <f>SUM(J73:L73)</f>
        <v>0</v>
      </c>
      <c r="J73" s="93">
        <v>0</v>
      </c>
      <c r="K73" s="93">
        <v>0</v>
      </c>
      <c r="L73" s="87">
        <v>0</v>
      </c>
    </row>
    <row r="74" spans="1:12" s="18" customFormat="1" ht="51" x14ac:dyDescent="0.25">
      <c r="A74" s="46"/>
      <c r="B74" s="47" t="s">
        <v>145</v>
      </c>
      <c r="C74" s="48" t="s">
        <v>99</v>
      </c>
      <c r="D74" s="13" t="s">
        <v>33</v>
      </c>
      <c r="E74" s="32">
        <f>SUM(F74:H74)</f>
        <v>403.75</v>
      </c>
      <c r="F74" s="32">
        <v>0</v>
      </c>
      <c r="G74" s="32">
        <v>225</v>
      </c>
      <c r="H74" s="32">
        <v>178.75</v>
      </c>
      <c r="I74" s="93">
        <f>SUM(J74:L74)</f>
        <v>0</v>
      </c>
      <c r="J74" s="93">
        <v>0</v>
      </c>
      <c r="K74" s="93">
        <v>0</v>
      </c>
      <c r="L74" s="87">
        <v>0</v>
      </c>
    </row>
    <row r="75" spans="1:12" s="18" customFormat="1" ht="51" x14ac:dyDescent="0.25">
      <c r="A75" s="34"/>
      <c r="B75" s="47" t="s">
        <v>146</v>
      </c>
      <c r="C75" s="48" t="s">
        <v>99</v>
      </c>
      <c r="D75" s="13" t="s">
        <v>33</v>
      </c>
      <c r="E75" s="32">
        <f>SUM(F75:H75)</f>
        <v>270</v>
      </c>
      <c r="F75" s="32">
        <v>0</v>
      </c>
      <c r="G75" s="32">
        <v>180</v>
      </c>
      <c r="H75" s="32">
        <v>90</v>
      </c>
      <c r="I75" s="93">
        <f>SUM(J75:L75)</f>
        <v>0</v>
      </c>
      <c r="J75" s="93">
        <v>0</v>
      </c>
      <c r="K75" s="93">
        <v>0</v>
      </c>
      <c r="L75" s="87">
        <v>0</v>
      </c>
    </row>
    <row r="76" spans="1:12" s="37" customFormat="1" ht="94.5" x14ac:dyDescent="0.25">
      <c r="A76" s="3" t="s">
        <v>148</v>
      </c>
      <c r="B76" s="38" t="s">
        <v>147</v>
      </c>
      <c r="C76" s="4" t="s">
        <v>62</v>
      </c>
      <c r="D76" s="4" t="s">
        <v>33</v>
      </c>
      <c r="E76" s="20">
        <v>0</v>
      </c>
      <c r="F76" s="20">
        <v>0</v>
      </c>
      <c r="G76" s="20">
        <v>0</v>
      </c>
      <c r="H76" s="20">
        <v>0</v>
      </c>
      <c r="I76" s="94">
        <v>0</v>
      </c>
      <c r="J76" s="94">
        <v>0</v>
      </c>
      <c r="K76" s="94">
        <v>0</v>
      </c>
      <c r="L76" s="85">
        <v>0</v>
      </c>
    </row>
    <row r="77" spans="1:12" s="37" customFormat="1" ht="63" x14ac:dyDescent="0.25">
      <c r="A77" s="3" t="s">
        <v>150</v>
      </c>
      <c r="B77" s="38" t="s">
        <v>149</v>
      </c>
      <c r="C77" s="4" t="s">
        <v>62</v>
      </c>
      <c r="D77" s="4" t="s">
        <v>33</v>
      </c>
      <c r="E77" s="20">
        <v>0</v>
      </c>
      <c r="F77" s="20">
        <v>0</v>
      </c>
      <c r="G77" s="20">
        <v>0</v>
      </c>
      <c r="H77" s="20">
        <v>0</v>
      </c>
      <c r="I77" s="94">
        <v>0</v>
      </c>
      <c r="J77" s="94">
        <v>0</v>
      </c>
      <c r="K77" s="94">
        <v>0</v>
      </c>
      <c r="L77" s="85">
        <v>0</v>
      </c>
    </row>
    <row r="78" spans="1:12" s="37" customFormat="1" ht="110.25" x14ac:dyDescent="0.25">
      <c r="A78" s="40" t="s">
        <v>152</v>
      </c>
      <c r="B78" s="41" t="s">
        <v>151</v>
      </c>
      <c r="C78" s="11" t="s">
        <v>153</v>
      </c>
      <c r="D78" s="11">
        <v>2017</v>
      </c>
      <c r="E78" s="39">
        <f>SUM(F78:H78)</f>
        <v>4341</v>
      </c>
      <c r="F78" s="39">
        <v>0</v>
      </c>
      <c r="G78" s="39">
        <v>0</v>
      </c>
      <c r="H78" s="39">
        <v>4341</v>
      </c>
      <c r="I78" s="94">
        <f>SUM(J78:L78)</f>
        <v>4056.1022600000001</v>
      </c>
      <c r="J78" s="94">
        <v>0</v>
      </c>
      <c r="K78" s="94">
        <v>0</v>
      </c>
      <c r="L78" s="89">
        <v>4056.1022600000001</v>
      </c>
    </row>
    <row r="79" spans="1:12" s="54" customFormat="1" ht="63" x14ac:dyDescent="0.25">
      <c r="A79" s="16" t="s">
        <v>155</v>
      </c>
      <c r="B79" s="8" t="s">
        <v>154</v>
      </c>
      <c r="C79" s="53"/>
      <c r="D79" s="53"/>
      <c r="E79" s="42"/>
      <c r="F79" s="42"/>
      <c r="G79" s="42"/>
      <c r="H79" s="42"/>
      <c r="I79" s="111"/>
      <c r="J79" s="111"/>
      <c r="K79" s="111"/>
      <c r="L79" s="97"/>
    </row>
    <row r="80" spans="1:12" s="37" customFormat="1" ht="47.25" x14ac:dyDescent="0.25">
      <c r="A80" s="40" t="s">
        <v>157</v>
      </c>
      <c r="B80" s="41" t="s">
        <v>156</v>
      </c>
      <c r="C80" s="55" t="s">
        <v>59</v>
      </c>
      <c r="D80" s="55" t="s">
        <v>33</v>
      </c>
      <c r="E80" s="56">
        <f>SUM(F80:H80)</f>
        <v>46083.19</v>
      </c>
      <c r="F80" s="56">
        <v>24661.1</v>
      </c>
      <c r="G80" s="56">
        <v>21422.09</v>
      </c>
      <c r="H80" s="56">
        <v>0</v>
      </c>
      <c r="I80" s="94">
        <f>SUM(J80:L80)</f>
        <v>5077.74</v>
      </c>
      <c r="J80" s="94">
        <v>2398.29</v>
      </c>
      <c r="K80" s="94">
        <v>0</v>
      </c>
      <c r="L80" s="94">
        <v>2679.45</v>
      </c>
    </row>
    <row r="81" spans="1:12" s="37" customFormat="1" ht="141.75" x14ac:dyDescent="0.25">
      <c r="A81" s="3" t="s">
        <v>159</v>
      </c>
      <c r="B81" s="38" t="s">
        <v>158</v>
      </c>
      <c r="C81" s="4" t="s">
        <v>153</v>
      </c>
      <c r="D81" s="4" t="s">
        <v>33</v>
      </c>
      <c r="E81" s="39">
        <f>SUM(F81:H81)</f>
        <v>0</v>
      </c>
      <c r="F81" s="20">
        <v>0</v>
      </c>
      <c r="G81" s="20">
        <v>0</v>
      </c>
      <c r="H81" s="20">
        <v>0</v>
      </c>
      <c r="I81" s="94">
        <v>0</v>
      </c>
      <c r="J81" s="94">
        <v>0</v>
      </c>
      <c r="K81" s="94">
        <v>0</v>
      </c>
      <c r="L81" s="85">
        <v>0</v>
      </c>
    </row>
    <row r="82" spans="1:12" s="37" customFormat="1" ht="110.25" x14ac:dyDescent="0.25">
      <c r="A82" s="40" t="s">
        <v>161</v>
      </c>
      <c r="B82" s="41" t="s">
        <v>160</v>
      </c>
      <c r="C82" s="11" t="s">
        <v>62</v>
      </c>
      <c r="D82" s="4" t="s">
        <v>33</v>
      </c>
      <c r="E82" s="39">
        <f>SUM(F82:H82)</f>
        <v>288</v>
      </c>
      <c r="F82" s="20">
        <v>0</v>
      </c>
      <c r="G82" s="20">
        <v>0</v>
      </c>
      <c r="H82" s="39">
        <v>288</v>
      </c>
      <c r="I82" s="94">
        <f>SUM(J82:L82)</f>
        <v>0</v>
      </c>
      <c r="J82" s="94">
        <v>0</v>
      </c>
      <c r="K82" s="94">
        <v>0</v>
      </c>
      <c r="L82" s="89">
        <v>0</v>
      </c>
    </row>
    <row r="83" spans="1:12" s="54" customFormat="1" ht="47.25" x14ac:dyDescent="0.25">
      <c r="A83" s="16" t="s">
        <v>163</v>
      </c>
      <c r="B83" s="8" t="s">
        <v>162</v>
      </c>
      <c r="C83" s="53"/>
      <c r="D83" s="53"/>
      <c r="E83" s="42"/>
      <c r="F83" s="42"/>
      <c r="G83" s="42"/>
      <c r="H83" s="42"/>
      <c r="I83" s="111"/>
      <c r="J83" s="111"/>
      <c r="K83" s="111"/>
      <c r="L83" s="97"/>
    </row>
    <row r="84" spans="1:12" s="37" customFormat="1" ht="63" x14ac:dyDescent="0.25">
      <c r="A84" s="3" t="s">
        <v>165</v>
      </c>
      <c r="B84" s="38" t="s">
        <v>164</v>
      </c>
      <c r="C84" s="4" t="s">
        <v>166</v>
      </c>
      <c r="D84" s="4" t="s">
        <v>33</v>
      </c>
      <c r="E84" s="20">
        <v>0</v>
      </c>
      <c r="F84" s="20">
        <v>0</v>
      </c>
      <c r="G84" s="20">
        <v>0</v>
      </c>
      <c r="H84" s="20">
        <v>0</v>
      </c>
      <c r="I84" s="94">
        <v>0</v>
      </c>
      <c r="J84" s="94">
        <v>0</v>
      </c>
      <c r="K84" s="94">
        <v>0</v>
      </c>
      <c r="L84" s="85">
        <v>0</v>
      </c>
    </row>
    <row r="85" spans="1:12" s="37" customFormat="1" ht="94.5" x14ac:dyDescent="0.25">
      <c r="A85" s="3" t="s">
        <v>168</v>
      </c>
      <c r="B85" s="38" t="s">
        <v>167</v>
      </c>
      <c r="C85" s="4" t="s">
        <v>62</v>
      </c>
      <c r="D85" s="4" t="s">
        <v>33</v>
      </c>
      <c r="E85" s="20">
        <v>0</v>
      </c>
      <c r="F85" s="20">
        <v>0</v>
      </c>
      <c r="G85" s="20">
        <v>0</v>
      </c>
      <c r="H85" s="20">
        <v>0</v>
      </c>
      <c r="I85" s="94">
        <v>0</v>
      </c>
      <c r="J85" s="94">
        <v>0</v>
      </c>
      <c r="K85" s="94">
        <v>0</v>
      </c>
      <c r="L85" s="85">
        <v>0</v>
      </c>
    </row>
    <row r="86" spans="1:12" s="52" customFormat="1" ht="38.25" x14ac:dyDescent="0.25">
      <c r="A86" s="49"/>
      <c r="B86" s="29" t="s">
        <v>169</v>
      </c>
      <c r="C86" s="13" t="s">
        <v>62</v>
      </c>
      <c r="D86" s="13" t="s">
        <v>33</v>
      </c>
      <c r="E86" s="33">
        <v>0</v>
      </c>
      <c r="F86" s="33">
        <v>0</v>
      </c>
      <c r="G86" s="33">
        <v>0</v>
      </c>
      <c r="H86" s="33">
        <v>0</v>
      </c>
      <c r="I86" s="93">
        <v>0</v>
      </c>
      <c r="J86" s="93">
        <v>0</v>
      </c>
      <c r="K86" s="93">
        <v>0</v>
      </c>
      <c r="L86" s="86">
        <v>0</v>
      </c>
    </row>
    <row r="87" spans="1:12" s="52" customFormat="1" ht="25.5" x14ac:dyDescent="0.25">
      <c r="A87" s="49"/>
      <c r="B87" s="29" t="s">
        <v>170</v>
      </c>
      <c r="C87" s="13" t="s">
        <v>62</v>
      </c>
      <c r="D87" s="13" t="s">
        <v>33</v>
      </c>
      <c r="E87" s="33">
        <v>0</v>
      </c>
      <c r="F87" s="33">
        <v>0</v>
      </c>
      <c r="G87" s="33">
        <v>0</v>
      </c>
      <c r="H87" s="33">
        <v>0</v>
      </c>
      <c r="I87" s="93">
        <v>0</v>
      </c>
      <c r="J87" s="93">
        <v>0</v>
      </c>
      <c r="K87" s="93">
        <v>0</v>
      </c>
      <c r="L87" s="86">
        <v>0</v>
      </c>
    </row>
    <row r="88" spans="1:12" s="52" customFormat="1" ht="38.25" x14ac:dyDescent="0.25">
      <c r="A88" s="49"/>
      <c r="B88" s="29" t="s">
        <v>171</v>
      </c>
      <c r="C88" s="13" t="s">
        <v>62</v>
      </c>
      <c r="D88" s="13" t="s">
        <v>33</v>
      </c>
      <c r="E88" s="33">
        <v>0</v>
      </c>
      <c r="F88" s="33">
        <v>0</v>
      </c>
      <c r="G88" s="33">
        <v>0</v>
      </c>
      <c r="H88" s="33">
        <v>0</v>
      </c>
      <c r="I88" s="93">
        <v>0</v>
      </c>
      <c r="J88" s="93">
        <v>0</v>
      </c>
      <c r="K88" s="93">
        <v>0</v>
      </c>
      <c r="L88" s="86">
        <v>0</v>
      </c>
    </row>
    <row r="89" spans="1:12" s="52" customFormat="1" ht="51" x14ac:dyDescent="0.25">
      <c r="A89" s="49"/>
      <c r="B89" s="29" t="s">
        <v>172</v>
      </c>
      <c r="C89" s="13" t="s">
        <v>173</v>
      </c>
      <c r="D89" s="13" t="s">
        <v>33</v>
      </c>
      <c r="E89" s="33">
        <v>0</v>
      </c>
      <c r="F89" s="33">
        <v>0</v>
      </c>
      <c r="G89" s="33">
        <v>0</v>
      </c>
      <c r="H89" s="33">
        <v>0</v>
      </c>
      <c r="I89" s="93">
        <v>0</v>
      </c>
      <c r="J89" s="93">
        <v>0</v>
      </c>
      <c r="K89" s="93">
        <v>0</v>
      </c>
      <c r="L89" s="86">
        <v>0</v>
      </c>
    </row>
    <row r="90" spans="1:12" s="37" customFormat="1" ht="133.5" customHeight="1" x14ac:dyDescent="0.25">
      <c r="A90" s="3" t="s">
        <v>175</v>
      </c>
      <c r="B90" s="38" t="s">
        <v>174</v>
      </c>
      <c r="C90" s="4" t="s">
        <v>176</v>
      </c>
      <c r="D90" s="4" t="s">
        <v>33</v>
      </c>
      <c r="E90" s="20">
        <v>0</v>
      </c>
      <c r="F90" s="20">
        <v>0</v>
      </c>
      <c r="G90" s="20">
        <v>0</v>
      </c>
      <c r="H90" s="20">
        <v>0</v>
      </c>
      <c r="I90" s="94">
        <v>0</v>
      </c>
      <c r="J90" s="94">
        <v>0</v>
      </c>
      <c r="K90" s="94">
        <v>0</v>
      </c>
      <c r="L90" s="85">
        <v>0</v>
      </c>
    </row>
    <row r="91" spans="1:12" s="37" customFormat="1" ht="94.5" x14ac:dyDescent="0.25">
      <c r="A91" s="3" t="s">
        <v>178</v>
      </c>
      <c r="B91" s="38" t="s">
        <v>177</v>
      </c>
      <c r="C91" s="4"/>
      <c r="D91" s="4" t="s">
        <v>33</v>
      </c>
      <c r="E91" s="20">
        <v>0</v>
      </c>
      <c r="F91" s="20">
        <v>0</v>
      </c>
      <c r="G91" s="20">
        <v>0</v>
      </c>
      <c r="H91" s="20">
        <v>0</v>
      </c>
      <c r="I91" s="94">
        <v>0</v>
      </c>
      <c r="J91" s="94">
        <v>0</v>
      </c>
      <c r="K91" s="94">
        <v>0</v>
      </c>
      <c r="L91" s="85">
        <v>0</v>
      </c>
    </row>
    <row r="92" spans="1:12" s="18" customFormat="1" ht="38.25" x14ac:dyDescent="0.25">
      <c r="A92" s="49"/>
      <c r="B92" s="29" t="s">
        <v>179</v>
      </c>
      <c r="C92" s="13" t="s">
        <v>173</v>
      </c>
      <c r="D92" s="13" t="s">
        <v>33</v>
      </c>
      <c r="E92" s="33">
        <v>0</v>
      </c>
      <c r="F92" s="33">
        <v>0</v>
      </c>
      <c r="G92" s="33">
        <v>0</v>
      </c>
      <c r="H92" s="33">
        <v>0</v>
      </c>
      <c r="I92" s="93">
        <v>0</v>
      </c>
      <c r="J92" s="93">
        <v>0</v>
      </c>
      <c r="K92" s="93">
        <v>0</v>
      </c>
      <c r="L92" s="86">
        <v>0</v>
      </c>
    </row>
    <row r="93" spans="1:12" s="18" customFormat="1" ht="38.25" x14ac:dyDescent="0.25">
      <c r="A93" s="49"/>
      <c r="B93" s="29" t="s">
        <v>180</v>
      </c>
      <c r="C93" s="13" t="s">
        <v>173</v>
      </c>
      <c r="D93" s="13" t="s">
        <v>33</v>
      </c>
      <c r="E93" s="33">
        <v>0</v>
      </c>
      <c r="F93" s="33">
        <v>0</v>
      </c>
      <c r="G93" s="33">
        <v>0</v>
      </c>
      <c r="H93" s="33">
        <v>0</v>
      </c>
      <c r="I93" s="93">
        <v>0</v>
      </c>
      <c r="J93" s="93">
        <v>0</v>
      </c>
      <c r="K93" s="93">
        <v>0</v>
      </c>
      <c r="L93" s="86">
        <v>0</v>
      </c>
    </row>
    <row r="94" spans="1:12" s="18" customFormat="1" ht="51" x14ac:dyDescent="0.25">
      <c r="A94" s="49"/>
      <c r="B94" s="29" t="s">
        <v>181</v>
      </c>
      <c r="C94" s="13" t="s">
        <v>182</v>
      </c>
      <c r="D94" s="13" t="s">
        <v>33</v>
      </c>
      <c r="E94" s="33">
        <v>0</v>
      </c>
      <c r="F94" s="33">
        <v>0</v>
      </c>
      <c r="G94" s="33">
        <v>0</v>
      </c>
      <c r="H94" s="33">
        <v>0</v>
      </c>
      <c r="I94" s="93">
        <v>0</v>
      </c>
      <c r="J94" s="93">
        <v>0</v>
      </c>
      <c r="K94" s="93">
        <v>0</v>
      </c>
      <c r="L94" s="86">
        <v>0</v>
      </c>
    </row>
    <row r="95" spans="1:12" s="12" customFormat="1" ht="18.75" customHeight="1" x14ac:dyDescent="0.25">
      <c r="A95" s="1132" t="s">
        <v>7</v>
      </c>
      <c r="B95" s="1132"/>
      <c r="C95" s="1132"/>
      <c r="D95" s="1132"/>
      <c r="E95" s="42">
        <f t="shared" ref="E95:L95" si="16">SUM(E9,E13:E18,E21:E22,E26,E28:E33,E37:E38,E42,E48:E49,E56,E63,E65,E70,E72,E76:E78,E80:E80,E81,E82,E84:E85,E90:E91)</f>
        <v>264289.11800000002</v>
      </c>
      <c r="F95" s="42">
        <f t="shared" si="16"/>
        <v>87920.13</v>
      </c>
      <c r="G95" s="241">
        <f t="shared" si="16"/>
        <v>41753.661999999997</v>
      </c>
      <c r="H95" s="42">
        <f t="shared" si="16"/>
        <v>134615.326</v>
      </c>
      <c r="I95" s="111">
        <f t="shared" si="16"/>
        <v>81380.282260000007</v>
      </c>
      <c r="J95" s="111">
        <f t="shared" si="16"/>
        <v>34068.959999999999</v>
      </c>
      <c r="K95" s="242">
        <f t="shared" si="16"/>
        <v>1807.67</v>
      </c>
      <c r="L95" s="111">
        <f t="shared" si="16"/>
        <v>45503.652260000003</v>
      </c>
    </row>
    <row r="96" spans="1:12" x14ac:dyDescent="0.25">
      <c r="A96" s="7"/>
      <c r="G96" s="98"/>
    </row>
    <row r="97" spans="1:12" x14ac:dyDescent="0.25">
      <c r="A97" s="7"/>
      <c r="B97" s="19"/>
      <c r="E97" s="112"/>
      <c r="F97" s="112"/>
      <c r="G97" s="112"/>
      <c r="H97" s="112"/>
      <c r="L97" s="112"/>
    </row>
    <row r="98" spans="1:12" x14ac:dyDescent="0.25">
      <c r="A98" s="7"/>
      <c r="E98" s="112"/>
      <c r="F98" s="112"/>
      <c r="G98" s="112"/>
      <c r="H98" s="112"/>
    </row>
    <row r="99" spans="1:12" x14ac:dyDescent="0.25">
      <c r="A99" s="62" t="s">
        <v>8</v>
      </c>
      <c r="B99" s="63"/>
      <c r="C99" s="64"/>
      <c r="D99" s="64"/>
      <c r="E99" s="99"/>
      <c r="F99" s="100"/>
      <c r="G99" s="101"/>
      <c r="H99" s="101"/>
      <c r="I99" s="101"/>
      <c r="J99" s="101"/>
    </row>
    <row r="100" spans="1:12" x14ac:dyDescent="0.25">
      <c r="A100" s="65"/>
      <c r="B100" s="66"/>
      <c r="C100" s="67"/>
      <c r="D100" s="67"/>
      <c r="E100" s="102"/>
      <c r="F100" s="103"/>
      <c r="G100" s="104"/>
      <c r="H100" s="104"/>
      <c r="I100" s="104"/>
      <c r="J100" s="104" t="s">
        <v>9</v>
      </c>
    </row>
    <row r="101" spans="1:12" x14ac:dyDescent="0.25">
      <c r="A101" s="65"/>
      <c r="B101" s="1120" t="s">
        <v>10</v>
      </c>
      <c r="C101" s="1121"/>
      <c r="D101" s="1122"/>
      <c r="E101" s="1123" t="s">
        <v>11</v>
      </c>
      <c r="F101" s="1124"/>
      <c r="G101" s="1125"/>
      <c r="H101" s="1123" t="s">
        <v>12</v>
      </c>
      <c r="I101" s="1124"/>
      <c r="J101" s="1125"/>
    </row>
    <row r="102" spans="1:12" ht="31.5" x14ac:dyDescent="0.25">
      <c r="A102" s="65"/>
      <c r="B102" s="68" t="s">
        <v>13</v>
      </c>
      <c r="C102" s="68" t="s">
        <v>14</v>
      </c>
      <c r="D102" s="68" t="s">
        <v>15</v>
      </c>
      <c r="E102" s="105" t="s">
        <v>13</v>
      </c>
      <c r="F102" s="105" t="s">
        <v>14</v>
      </c>
      <c r="G102" s="105" t="s">
        <v>15</v>
      </c>
      <c r="H102" s="105" t="s">
        <v>13</v>
      </c>
      <c r="I102" s="105" t="s">
        <v>14</v>
      </c>
      <c r="J102" s="105" t="s">
        <v>15</v>
      </c>
    </row>
    <row r="103" spans="1:12" x14ac:dyDescent="0.25">
      <c r="A103" s="69"/>
      <c r="B103" s="70">
        <f>C103+D103</f>
        <v>264289.09999999998</v>
      </c>
      <c r="C103" s="70">
        <f>41753.7</f>
        <v>41753.699999999997</v>
      </c>
      <c r="D103" s="70">
        <f>87920.1+134615.3</f>
        <v>222535.4</v>
      </c>
      <c r="E103" s="106">
        <f>F103+G103</f>
        <v>81380.282259999993</v>
      </c>
      <c r="F103" s="106">
        <f>K95</f>
        <v>1807.67</v>
      </c>
      <c r="G103" s="106">
        <f>J95+L95</f>
        <v>79572.612259999994</v>
      </c>
      <c r="H103" s="107">
        <f>B103-E103</f>
        <v>182908.81773999997</v>
      </c>
      <c r="I103" s="107">
        <f>C103-F103</f>
        <v>39946.03</v>
      </c>
      <c r="J103" s="107">
        <f>G103-D103</f>
        <v>-142962.78774</v>
      </c>
    </row>
    <row r="104" spans="1:12" x14ac:dyDescent="0.25">
      <c r="A104" s="7"/>
    </row>
    <row r="105" spans="1:12" x14ac:dyDescent="0.25">
      <c r="A105" s="7"/>
    </row>
    <row r="106" spans="1:12" x14ac:dyDescent="0.25">
      <c r="A106" s="7"/>
    </row>
    <row r="107" spans="1:12" x14ac:dyDescent="0.25">
      <c r="A107" s="7"/>
    </row>
    <row r="108" spans="1:12" x14ac:dyDescent="0.25">
      <c r="A108" s="7"/>
    </row>
    <row r="109" spans="1:12" x14ac:dyDescent="0.25">
      <c r="A109" s="7"/>
    </row>
    <row r="110" spans="1:12" x14ac:dyDescent="0.25">
      <c r="A110" s="7"/>
    </row>
    <row r="111" spans="1:12" x14ac:dyDescent="0.25">
      <c r="A111" s="7"/>
    </row>
    <row r="112" spans="1:12"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sheetData>
  <mergeCells count="15">
    <mergeCell ref="B101:D101"/>
    <mergeCell ref="E101:G101"/>
    <mergeCell ref="H101:J101"/>
    <mergeCell ref="J5:L5"/>
    <mergeCell ref="A2:L2"/>
    <mergeCell ref="A4:A6"/>
    <mergeCell ref="B4:B6"/>
    <mergeCell ref="C4:C6"/>
    <mergeCell ref="D4:D6"/>
    <mergeCell ref="E4:H4"/>
    <mergeCell ref="I4:L4"/>
    <mergeCell ref="E5:E6"/>
    <mergeCell ref="F5:H5"/>
    <mergeCell ref="I5:I6"/>
    <mergeCell ref="A95:D95"/>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2"/>
  <sheetViews>
    <sheetView view="pageBreakPreview" zoomScale="75" zoomScaleNormal="75" zoomScaleSheetLayoutView="75" workbookViewId="0">
      <selection sqref="A1:S1"/>
    </sheetView>
  </sheetViews>
  <sheetFormatPr defaultRowHeight="15.75" x14ac:dyDescent="0.2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1161" t="s">
        <v>187</v>
      </c>
      <c r="B1" s="1161"/>
      <c r="C1" s="1161"/>
      <c r="D1" s="1161"/>
      <c r="E1" s="1161"/>
      <c r="F1" s="1161"/>
      <c r="G1" s="1161"/>
    </row>
    <row r="2" spans="1:24" x14ac:dyDescent="0.25">
      <c r="A2" s="1161" t="s">
        <v>410</v>
      </c>
      <c r="B2" s="1161"/>
      <c r="C2" s="1161"/>
      <c r="D2" s="1161"/>
      <c r="E2" s="1161"/>
      <c r="F2" s="1161"/>
      <c r="G2" s="1161"/>
    </row>
    <row r="4" spans="1:24" s="126" customFormat="1" x14ac:dyDescent="0.25">
      <c r="A4" s="1162" t="s">
        <v>26</v>
      </c>
      <c r="B4" s="1163" t="s">
        <v>188</v>
      </c>
      <c r="C4" s="1163" t="s">
        <v>189</v>
      </c>
      <c r="D4" s="1163"/>
      <c r="E4" s="1163" t="s">
        <v>190</v>
      </c>
      <c r="F4" s="1164" t="s">
        <v>191</v>
      </c>
      <c r="G4" s="1163" t="s">
        <v>192</v>
      </c>
      <c r="H4" s="124"/>
      <c r="I4" s="124"/>
      <c r="J4" s="124"/>
      <c r="K4" s="124"/>
      <c r="L4" s="124"/>
      <c r="M4" s="124"/>
      <c r="N4" s="124"/>
      <c r="O4" s="124"/>
      <c r="P4" s="124"/>
      <c r="Q4" s="124"/>
      <c r="R4" s="124"/>
      <c r="S4" s="124"/>
      <c r="T4" s="124"/>
      <c r="U4" s="124"/>
      <c r="V4" s="124"/>
      <c r="W4" s="124"/>
      <c r="X4" s="124"/>
    </row>
    <row r="5" spans="1:24" s="126" customFormat="1" x14ac:dyDescent="0.25">
      <c r="A5" s="1162"/>
      <c r="B5" s="1163"/>
      <c r="C5" s="127" t="s">
        <v>193</v>
      </c>
      <c r="D5" s="127" t="s">
        <v>194</v>
      </c>
      <c r="E5" s="1163"/>
      <c r="F5" s="1164"/>
      <c r="G5" s="1163"/>
      <c r="H5" s="124"/>
      <c r="I5" s="124"/>
      <c r="J5" s="124"/>
      <c r="K5" s="124"/>
      <c r="L5" s="124"/>
      <c r="M5" s="124"/>
      <c r="N5" s="124"/>
      <c r="O5" s="124"/>
      <c r="P5" s="124"/>
      <c r="Q5" s="124"/>
      <c r="R5" s="124"/>
      <c r="S5" s="124"/>
      <c r="T5" s="124"/>
      <c r="U5" s="124"/>
      <c r="V5" s="124"/>
      <c r="W5" s="124"/>
      <c r="X5" s="124"/>
    </row>
    <row r="6" spans="1:24" s="126" customFormat="1" x14ac:dyDescent="0.25">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x14ac:dyDescent="0.25">
      <c r="A7" s="130">
        <v>1</v>
      </c>
      <c r="B7" s="1165" t="s">
        <v>48</v>
      </c>
      <c r="C7" s="1165"/>
      <c r="D7" s="1165"/>
      <c r="E7" s="1165"/>
      <c r="F7" s="1165"/>
      <c r="G7" s="1165"/>
    </row>
    <row r="8" spans="1:24" x14ac:dyDescent="0.25">
      <c r="A8" s="131" t="s">
        <v>46</v>
      </c>
      <c r="B8" s="1150" t="s">
        <v>195</v>
      </c>
      <c r="C8" s="1151"/>
      <c r="D8" s="1151"/>
      <c r="E8" s="1151"/>
      <c r="F8" s="1151"/>
      <c r="G8" s="1151"/>
    </row>
    <row r="9" spans="1:24" x14ac:dyDescent="0.25">
      <c r="A9" s="132"/>
      <c r="B9" s="113" t="s">
        <v>196</v>
      </c>
      <c r="C9" s="133">
        <v>11170.18</v>
      </c>
      <c r="D9" s="133">
        <v>4833.2298000000001</v>
      </c>
      <c r="E9" s="133">
        <f>D9-C9</f>
        <v>-6336.9502000000002</v>
      </c>
      <c r="F9" s="114">
        <f>D9/C9*100</f>
        <v>43.269041322521211</v>
      </c>
      <c r="G9" s="122" t="s">
        <v>400</v>
      </c>
    </row>
    <row r="10" spans="1:24" ht="31.5" x14ac:dyDescent="0.25">
      <c r="A10" s="132"/>
      <c r="B10" s="134" t="s">
        <v>197</v>
      </c>
      <c r="C10" s="114">
        <v>22000</v>
      </c>
      <c r="D10" s="114">
        <v>14304</v>
      </c>
      <c r="E10" s="114">
        <f>D10-C10</f>
        <v>-7696</v>
      </c>
      <c r="F10" s="114">
        <f>D10/C10*100</f>
        <v>65.018181818181816</v>
      </c>
      <c r="G10" s="122" t="s">
        <v>400</v>
      </c>
    </row>
    <row r="11" spans="1:24" ht="47.25" x14ac:dyDescent="0.25">
      <c r="A11" s="132"/>
      <c r="B11" s="134" t="s">
        <v>198</v>
      </c>
      <c r="C11" s="135">
        <f>C9/C10</f>
        <v>0.50773545454545455</v>
      </c>
      <c r="D11" s="135">
        <f>D9/D10</f>
        <v>0.33789358221476512</v>
      </c>
      <c r="E11" s="133">
        <f>D11-C11</f>
        <v>-0.16984187233068943</v>
      </c>
      <c r="F11" s="114">
        <f>D11/C11*100</f>
        <v>66.549140736539897</v>
      </c>
      <c r="G11" s="122" t="s">
        <v>400</v>
      </c>
    </row>
    <row r="12" spans="1:24" ht="63" x14ac:dyDescent="0.25">
      <c r="A12" s="132"/>
      <c r="B12" s="134" t="s">
        <v>199</v>
      </c>
      <c r="C12" s="136">
        <v>66</v>
      </c>
      <c r="D12" s="136">
        <v>41.3</v>
      </c>
      <c r="E12" s="136">
        <f>D12-C12</f>
        <v>-24.700000000000003</v>
      </c>
      <c r="F12" s="136">
        <f>D12/C12*100</f>
        <v>62.575757575757571</v>
      </c>
      <c r="G12" s="122" t="s">
        <v>400</v>
      </c>
    </row>
    <row r="13" spans="1:24" x14ac:dyDescent="0.25">
      <c r="A13" s="137"/>
      <c r="B13" s="1152" t="s">
        <v>200</v>
      </c>
      <c r="C13" s="1153"/>
      <c r="D13" s="1153"/>
      <c r="E13" s="1153"/>
      <c r="F13" s="1153"/>
      <c r="G13" s="1153"/>
    </row>
    <row r="14" spans="1:24" x14ac:dyDescent="0.25">
      <c r="A14" s="138"/>
      <c r="B14" s="113" t="s">
        <v>196</v>
      </c>
      <c r="C14" s="133">
        <v>5909.49</v>
      </c>
      <c r="D14" s="133">
        <v>3472.61</v>
      </c>
      <c r="E14" s="133">
        <f>D14-C14</f>
        <v>-2436.8799999999997</v>
      </c>
      <c r="F14" s="114">
        <f>D14/C14*100</f>
        <v>58.763277372497456</v>
      </c>
      <c r="G14" s="122" t="s">
        <v>400</v>
      </c>
    </row>
    <row r="15" spans="1:24" ht="31.5" x14ac:dyDescent="0.25">
      <c r="A15" s="138"/>
      <c r="B15" s="134" t="s">
        <v>201</v>
      </c>
      <c r="C15" s="114">
        <v>15700</v>
      </c>
      <c r="D15" s="114">
        <v>9063</v>
      </c>
      <c r="E15" s="114">
        <f>D15-C15</f>
        <v>-6637</v>
      </c>
      <c r="F15" s="114">
        <f>D15/C15*100</f>
        <v>57.726114649681527</v>
      </c>
      <c r="G15" s="122" t="s">
        <v>400</v>
      </c>
    </row>
    <row r="16" spans="1:24" ht="47.25" x14ac:dyDescent="0.25">
      <c r="A16" s="138"/>
      <c r="B16" s="134" t="s">
        <v>202</v>
      </c>
      <c r="C16" s="139">
        <f>C14/C15</f>
        <v>0.37640063694267517</v>
      </c>
      <c r="D16" s="139">
        <f>D14/D15</f>
        <v>0.38316341167383872</v>
      </c>
      <c r="E16" s="139">
        <f>D16-C16</f>
        <v>6.7627747311635455E-3</v>
      </c>
      <c r="F16" s="114">
        <f>D16/C16*100</f>
        <v>101.79669587865057</v>
      </c>
      <c r="G16" s="122" t="s">
        <v>400</v>
      </c>
    </row>
    <row r="17" spans="1:24" ht="63" x14ac:dyDescent="0.25">
      <c r="A17" s="138"/>
      <c r="B17" s="134" t="s">
        <v>203</v>
      </c>
      <c r="C17" s="140">
        <v>65</v>
      </c>
      <c r="D17" s="141">
        <v>27.2</v>
      </c>
      <c r="E17" s="141">
        <f>D17-C17</f>
        <v>-37.799999999999997</v>
      </c>
      <c r="F17" s="114">
        <f>D17/C17*100</f>
        <v>41.846153846153847</v>
      </c>
      <c r="G17" s="122" t="s">
        <v>400</v>
      </c>
    </row>
    <row r="18" spans="1:24" x14ac:dyDescent="0.25">
      <c r="A18" s="138"/>
      <c r="B18" s="1137" t="s">
        <v>52</v>
      </c>
      <c r="C18" s="1137"/>
      <c r="D18" s="1137"/>
      <c r="E18" s="1137"/>
      <c r="F18" s="1137"/>
      <c r="G18" s="1138"/>
    </row>
    <row r="19" spans="1:24" x14ac:dyDescent="0.25">
      <c r="A19" s="138"/>
      <c r="B19" s="113" t="s">
        <v>196</v>
      </c>
      <c r="C19" s="133">
        <v>3743.7959999999998</v>
      </c>
      <c r="D19" s="142">
        <v>839.38</v>
      </c>
      <c r="E19" s="133">
        <f>D19-C19</f>
        <v>-2904.4159999999997</v>
      </c>
      <c r="F19" s="114">
        <f>D19/C19*100</f>
        <v>22.420559239873114</v>
      </c>
      <c r="G19" s="122" t="s">
        <v>400</v>
      </c>
    </row>
    <row r="20" spans="1:24" ht="31.5" x14ac:dyDescent="0.25">
      <c r="A20" s="138"/>
      <c r="B20" s="113" t="s">
        <v>204</v>
      </c>
      <c r="C20" s="114">
        <v>5700</v>
      </c>
      <c r="D20" s="143">
        <v>3668</v>
      </c>
      <c r="E20" s="114">
        <f>D20-C20</f>
        <v>-2032</v>
      </c>
      <c r="F20" s="114">
        <f>D20/C20*100</f>
        <v>64.350877192982452</v>
      </c>
      <c r="G20" s="122" t="s">
        <v>400</v>
      </c>
    </row>
    <row r="21" spans="1:24" ht="47.25" x14ac:dyDescent="0.25">
      <c r="A21" s="144"/>
      <c r="B21" s="113" t="s">
        <v>205</v>
      </c>
      <c r="C21" s="145">
        <f>C19/C20</f>
        <v>0.65680631578947368</v>
      </c>
      <c r="D21" s="145">
        <f>D19/D20</f>
        <v>0.22883860414394766</v>
      </c>
      <c r="E21" s="133">
        <f>D21-C21</f>
        <v>-0.42796771164552605</v>
      </c>
      <c r="F21" s="114">
        <f>D21/C21*100</f>
        <v>34.841108960544368</v>
      </c>
      <c r="G21" s="122" t="s">
        <v>400</v>
      </c>
    </row>
    <row r="22" spans="1:24" ht="63" x14ac:dyDescent="0.25">
      <c r="A22" s="144"/>
      <c r="B22" s="146" t="s">
        <v>206</v>
      </c>
      <c r="C22" s="147">
        <v>57</v>
      </c>
      <c r="D22" s="148">
        <v>34.9</v>
      </c>
      <c r="E22" s="141">
        <f>D22-C22</f>
        <v>-22.1</v>
      </c>
      <c r="F22" s="114">
        <f>D22/C22*100</f>
        <v>61.228070175438596</v>
      </c>
      <c r="G22" s="122" t="s">
        <v>400</v>
      </c>
    </row>
    <row r="23" spans="1:24" s="149" customFormat="1" x14ac:dyDescent="0.25">
      <c r="A23" s="137" t="s">
        <v>247</v>
      </c>
      <c r="B23" s="1154" t="s">
        <v>248</v>
      </c>
      <c r="C23" s="1155"/>
      <c r="D23" s="1137"/>
      <c r="E23" s="1137"/>
      <c r="F23" s="1137"/>
      <c r="G23" s="1138"/>
      <c r="H23" s="124"/>
      <c r="I23" s="124"/>
      <c r="J23" s="124"/>
      <c r="K23" s="124"/>
      <c r="L23" s="124"/>
      <c r="M23" s="124"/>
      <c r="N23" s="124"/>
      <c r="O23" s="124"/>
      <c r="P23" s="124"/>
      <c r="Q23" s="124"/>
      <c r="R23" s="124"/>
      <c r="S23" s="124"/>
      <c r="T23" s="124"/>
      <c r="U23" s="124"/>
      <c r="V23" s="124"/>
      <c r="W23" s="124"/>
      <c r="X23" s="124"/>
    </row>
    <row r="24" spans="1:24" x14ac:dyDescent="0.25">
      <c r="A24" s="150"/>
      <c r="B24" s="151" t="s">
        <v>249</v>
      </c>
      <c r="C24" s="152">
        <v>620</v>
      </c>
      <c r="D24" s="153">
        <v>52.43</v>
      </c>
      <c r="E24" s="154">
        <f>D24-C24</f>
        <v>-567.57000000000005</v>
      </c>
      <c r="F24" s="114">
        <f>D24/C24*100</f>
        <v>8.4564516129032263</v>
      </c>
      <c r="G24" s="122" t="s">
        <v>400</v>
      </c>
    </row>
    <row r="25" spans="1:24" ht="47.25" x14ac:dyDescent="0.25">
      <c r="A25" s="150"/>
      <c r="B25" s="151" t="s">
        <v>250</v>
      </c>
      <c r="C25" s="155">
        <v>4</v>
      </c>
      <c r="D25" s="153">
        <v>4</v>
      </c>
      <c r="E25" s="141">
        <f>D25-C25</f>
        <v>0</v>
      </c>
      <c r="F25" s="114">
        <f>D25/C25*100</f>
        <v>100</v>
      </c>
      <c r="G25" s="122" t="s">
        <v>400</v>
      </c>
    </row>
    <row r="26" spans="1:24" ht="47.25" x14ac:dyDescent="0.25">
      <c r="A26" s="150"/>
      <c r="B26" s="151" t="s">
        <v>251</v>
      </c>
      <c r="C26" s="152">
        <v>155</v>
      </c>
      <c r="D26" s="156">
        <f>D24/D25</f>
        <v>13.1075</v>
      </c>
      <c r="E26" s="141">
        <f>D26-C26</f>
        <v>-141.89250000000001</v>
      </c>
      <c r="F26" s="114">
        <f>D26/C26*100</f>
        <v>8.4564516129032263</v>
      </c>
      <c r="G26" s="122" t="s">
        <v>400</v>
      </c>
    </row>
    <row r="27" spans="1:24" ht="47.25" x14ac:dyDescent="0.25">
      <c r="A27" s="150"/>
      <c r="B27" s="151" t="s">
        <v>252</v>
      </c>
      <c r="C27" s="155">
        <v>60</v>
      </c>
      <c r="D27" s="157">
        <v>29.3</v>
      </c>
      <c r="E27" s="141">
        <f>D27-C27</f>
        <v>-30.7</v>
      </c>
      <c r="F27" s="114">
        <f>D27/C27*100</f>
        <v>48.833333333333336</v>
      </c>
      <c r="G27" s="122" t="s">
        <v>400</v>
      </c>
    </row>
    <row r="28" spans="1:24" s="149" customFormat="1" x14ac:dyDescent="0.25">
      <c r="A28" s="137" t="s">
        <v>253</v>
      </c>
      <c r="B28" s="1157" t="s">
        <v>54</v>
      </c>
      <c r="C28" s="1158"/>
      <c r="D28" s="1159"/>
      <c r="E28" s="1158"/>
      <c r="F28" s="1158"/>
      <c r="G28" s="1160"/>
      <c r="H28" s="124"/>
      <c r="I28" s="124"/>
      <c r="J28" s="124"/>
      <c r="K28" s="124"/>
      <c r="L28" s="124"/>
      <c r="M28" s="124"/>
      <c r="N28" s="124"/>
      <c r="O28" s="124"/>
      <c r="P28" s="124"/>
      <c r="Q28" s="124"/>
      <c r="R28" s="124"/>
      <c r="S28" s="124"/>
      <c r="T28" s="124"/>
      <c r="U28" s="124"/>
      <c r="V28" s="124"/>
      <c r="W28" s="124"/>
      <c r="X28" s="124"/>
    </row>
    <row r="29" spans="1:24" ht="63" x14ac:dyDescent="0.25">
      <c r="A29" s="150"/>
      <c r="B29" s="151" t="s">
        <v>254</v>
      </c>
      <c r="C29" s="155">
        <v>4</v>
      </c>
      <c r="D29" s="148">
        <v>1</v>
      </c>
      <c r="E29" s="141">
        <f>D29-C29</f>
        <v>-3</v>
      </c>
      <c r="F29" s="114">
        <f>D29/C29*100</f>
        <v>25</v>
      </c>
      <c r="G29" s="122" t="s">
        <v>400</v>
      </c>
    </row>
    <row r="30" spans="1:24" ht="47.25" x14ac:dyDescent="0.25">
      <c r="A30" s="150"/>
      <c r="B30" s="151" t="s">
        <v>255</v>
      </c>
      <c r="C30" s="152">
        <v>50</v>
      </c>
      <c r="D30" s="148">
        <v>0</v>
      </c>
      <c r="E30" s="141">
        <f>D30-C30</f>
        <v>-50</v>
      </c>
      <c r="F30" s="114">
        <f>D30/C30*100</f>
        <v>0</v>
      </c>
      <c r="G30" s="122" t="s">
        <v>400</v>
      </c>
    </row>
    <row r="31" spans="1:24" x14ac:dyDescent="0.25">
      <c r="A31" s="158" t="s">
        <v>66</v>
      </c>
      <c r="B31" s="1154" t="s">
        <v>55</v>
      </c>
      <c r="C31" s="1155"/>
      <c r="D31" s="1155"/>
      <c r="E31" s="1155"/>
      <c r="F31" s="1155"/>
      <c r="G31" s="1156"/>
    </row>
    <row r="32" spans="1:24" x14ac:dyDescent="0.25">
      <c r="A32" s="159"/>
      <c r="B32" s="113" t="s">
        <v>196</v>
      </c>
      <c r="C32" s="133">
        <v>1150</v>
      </c>
      <c r="D32" s="142">
        <v>241.1</v>
      </c>
      <c r="E32" s="133">
        <f>D32-C32</f>
        <v>-908.9</v>
      </c>
      <c r="F32" s="114">
        <f>D32/C32*100</f>
        <v>20.965217391304346</v>
      </c>
      <c r="G32" s="122" t="s">
        <v>400</v>
      </c>
    </row>
    <row r="33" spans="1:7" ht="47.25" x14ac:dyDescent="0.25">
      <c r="A33" s="138"/>
      <c r="B33" s="113" t="s">
        <v>207</v>
      </c>
      <c r="C33" s="116">
        <v>3</v>
      </c>
      <c r="D33" s="117">
        <v>2</v>
      </c>
      <c r="E33" s="114">
        <f>D33-C33</f>
        <v>-1</v>
      </c>
      <c r="F33" s="114">
        <f>D33/C33*100</f>
        <v>66.666666666666657</v>
      </c>
      <c r="G33" s="122" t="s">
        <v>400</v>
      </c>
    </row>
    <row r="34" spans="1:7" ht="47.25" x14ac:dyDescent="0.25">
      <c r="A34" s="138"/>
      <c r="B34" s="113" t="s">
        <v>208</v>
      </c>
      <c r="C34" s="133">
        <f>C32/C33</f>
        <v>383.33333333333331</v>
      </c>
      <c r="D34" s="133">
        <f>D32/D33</f>
        <v>120.55</v>
      </c>
      <c r="E34" s="133">
        <f>D34-C34</f>
        <v>-262.7833333333333</v>
      </c>
      <c r="F34" s="114">
        <f>D34/C34*100</f>
        <v>31.447826086956521</v>
      </c>
      <c r="G34" s="122" t="s">
        <v>400</v>
      </c>
    </row>
    <row r="35" spans="1:7" ht="47.25" x14ac:dyDescent="0.25">
      <c r="A35" s="144"/>
      <c r="B35" s="113" t="s">
        <v>209</v>
      </c>
      <c r="C35" s="160">
        <v>40</v>
      </c>
      <c r="D35" s="161">
        <v>3.6</v>
      </c>
      <c r="E35" s="136">
        <f>D35-C35</f>
        <v>-36.4</v>
      </c>
      <c r="F35" s="114">
        <f>D35/C35*100</f>
        <v>9</v>
      </c>
      <c r="G35" s="122" t="s">
        <v>400</v>
      </c>
    </row>
    <row r="36" spans="1:7" x14ac:dyDescent="0.25">
      <c r="A36" s="144" t="s">
        <v>256</v>
      </c>
      <c r="B36" s="1136" t="s">
        <v>56</v>
      </c>
      <c r="C36" s="1137"/>
      <c r="D36" s="1137"/>
      <c r="E36" s="1137"/>
      <c r="F36" s="1137"/>
      <c r="G36" s="1138"/>
    </row>
    <row r="37" spans="1:7" x14ac:dyDescent="0.25">
      <c r="A37" s="162"/>
      <c r="B37" s="151" t="s">
        <v>257</v>
      </c>
      <c r="C37" s="163">
        <v>80.28</v>
      </c>
      <c r="D37" s="164">
        <v>0</v>
      </c>
      <c r="E37" s="165">
        <f t="shared" ref="E37:E85" si="0">D37-C37</f>
        <v>-80.28</v>
      </c>
      <c r="F37" s="118">
        <f>D37/C37*100</f>
        <v>0</v>
      </c>
      <c r="G37" s="122" t="s">
        <v>400</v>
      </c>
    </row>
    <row r="38" spans="1:7" ht="48" customHeight="1" x14ac:dyDescent="0.25">
      <c r="A38" s="162"/>
      <c r="B38" s="151" t="s">
        <v>258</v>
      </c>
      <c r="C38" s="155">
        <v>100</v>
      </c>
      <c r="D38" s="166">
        <v>0</v>
      </c>
      <c r="E38" s="136">
        <f t="shared" si="0"/>
        <v>-100</v>
      </c>
      <c r="F38" s="114">
        <f>D38/C38*100</f>
        <v>0</v>
      </c>
      <c r="G38" s="122" t="s">
        <v>400</v>
      </c>
    </row>
    <row r="39" spans="1:7" ht="39" customHeight="1" x14ac:dyDescent="0.25">
      <c r="A39" s="162"/>
      <c r="B39" s="151" t="s">
        <v>259</v>
      </c>
      <c r="C39" s="155">
        <v>0.8</v>
      </c>
      <c r="D39" s="166">
        <v>0</v>
      </c>
      <c r="E39" s="136">
        <f t="shared" si="0"/>
        <v>-0.8</v>
      </c>
      <c r="F39" s="114">
        <f>D39/C39*100</f>
        <v>0</v>
      </c>
      <c r="G39" s="122" t="s">
        <v>400</v>
      </c>
    </row>
    <row r="40" spans="1:7" ht="63" x14ac:dyDescent="0.25">
      <c r="A40" s="162"/>
      <c r="B40" s="151" t="s">
        <v>260</v>
      </c>
      <c r="C40" s="155">
        <v>0.41</v>
      </c>
      <c r="D40" s="166">
        <v>0</v>
      </c>
      <c r="E40" s="136">
        <f t="shared" si="0"/>
        <v>-0.41</v>
      </c>
      <c r="F40" s="114">
        <f>D40/C40*100</f>
        <v>0</v>
      </c>
      <c r="G40" s="122" t="s">
        <v>400</v>
      </c>
    </row>
    <row r="41" spans="1:7" ht="32.25" customHeight="1" x14ac:dyDescent="0.25">
      <c r="A41" s="162" t="s">
        <v>261</v>
      </c>
      <c r="B41" s="1136" t="s">
        <v>57</v>
      </c>
      <c r="C41" s="1137"/>
      <c r="D41" s="1137"/>
      <c r="E41" s="1137"/>
      <c r="F41" s="1137"/>
      <c r="G41" s="1138"/>
    </row>
    <row r="42" spans="1:7" ht="18.75" x14ac:dyDescent="0.25">
      <c r="A42" s="162"/>
      <c r="B42" s="151" t="s">
        <v>257</v>
      </c>
      <c r="C42" s="163">
        <v>635</v>
      </c>
      <c r="D42" s="167">
        <v>333.16</v>
      </c>
      <c r="E42" s="165">
        <f t="shared" si="0"/>
        <v>-301.83999999999997</v>
      </c>
      <c r="F42" s="114">
        <f>D42/C42*100</f>
        <v>52.466141732283468</v>
      </c>
      <c r="G42" s="122" t="s">
        <v>400</v>
      </c>
    </row>
    <row r="43" spans="1:7" ht="47.25" x14ac:dyDescent="0.25">
      <c r="A43" s="162"/>
      <c r="B43" s="151" t="s">
        <v>262</v>
      </c>
      <c r="C43" s="155">
        <v>150</v>
      </c>
      <c r="D43" s="168">
        <v>8</v>
      </c>
      <c r="E43" s="136">
        <f t="shared" si="0"/>
        <v>-142</v>
      </c>
      <c r="F43" s="114">
        <f>D43/C43*100</f>
        <v>5.3333333333333339</v>
      </c>
      <c r="G43" s="122" t="s">
        <v>400</v>
      </c>
    </row>
    <row r="44" spans="1:7" ht="63" customHeight="1" x14ac:dyDescent="0.25">
      <c r="A44" s="162"/>
      <c r="B44" s="151" t="s">
        <v>263</v>
      </c>
      <c r="C44" s="152">
        <v>4.2300000000000004</v>
      </c>
      <c r="D44" s="153">
        <f>D42/D43</f>
        <v>41.645000000000003</v>
      </c>
      <c r="E44" s="136">
        <f t="shared" si="0"/>
        <v>37.415000000000006</v>
      </c>
      <c r="F44" s="114">
        <f>D44/C44*100</f>
        <v>984.51536643025997</v>
      </c>
      <c r="G44" s="122" t="s">
        <v>400</v>
      </c>
    </row>
    <row r="45" spans="1:7" ht="78.75" x14ac:dyDescent="0.25">
      <c r="A45" s="162"/>
      <c r="B45" s="151" t="s">
        <v>264</v>
      </c>
      <c r="C45" s="155">
        <v>50</v>
      </c>
      <c r="D45" s="168">
        <v>98</v>
      </c>
      <c r="E45" s="136">
        <f t="shared" si="0"/>
        <v>48</v>
      </c>
      <c r="F45" s="114">
        <f>D45/C45*100</f>
        <v>196</v>
      </c>
      <c r="G45" s="122" t="s">
        <v>400</v>
      </c>
    </row>
    <row r="46" spans="1:7" x14ac:dyDescent="0.25">
      <c r="A46" s="138" t="s">
        <v>265</v>
      </c>
      <c r="B46" s="1136" t="s">
        <v>269</v>
      </c>
      <c r="C46" s="1137"/>
      <c r="D46" s="1137"/>
      <c r="E46" s="1137"/>
      <c r="F46" s="1137"/>
      <c r="G46" s="1138"/>
    </row>
    <row r="47" spans="1:7" x14ac:dyDescent="0.25">
      <c r="A47" s="169"/>
      <c r="B47" s="151" t="s">
        <v>257</v>
      </c>
      <c r="C47" s="170">
        <v>3039.29</v>
      </c>
      <c r="D47" s="171">
        <f>D50+D54+D58</f>
        <v>1870.68</v>
      </c>
      <c r="E47" s="165">
        <f t="shared" si="0"/>
        <v>-1168.6099999999999</v>
      </c>
      <c r="F47" s="114">
        <f>D47/C47*100</f>
        <v>61.549901457248247</v>
      </c>
      <c r="G47" s="122" t="s">
        <v>400</v>
      </c>
    </row>
    <row r="48" spans="1:7" ht="31.5" x14ac:dyDescent="0.25">
      <c r="A48" s="172"/>
      <c r="B48" s="151" t="s">
        <v>267</v>
      </c>
      <c r="C48" s="152">
        <v>1550</v>
      </c>
      <c r="D48" s="143">
        <v>1056</v>
      </c>
      <c r="E48" s="136">
        <f t="shared" si="0"/>
        <v>-494</v>
      </c>
      <c r="F48" s="114">
        <f>D48/C48*100</f>
        <v>68.129032258064512</v>
      </c>
      <c r="G48" s="122" t="s">
        <v>400</v>
      </c>
    </row>
    <row r="49" spans="1:7" ht="31.5" x14ac:dyDescent="0.25">
      <c r="A49" s="172"/>
      <c r="B49" s="173" t="s">
        <v>275</v>
      </c>
      <c r="C49" s="116"/>
      <c r="D49" s="166"/>
      <c r="E49" s="136"/>
      <c r="F49" s="114"/>
      <c r="G49" s="122" t="s">
        <v>400</v>
      </c>
    </row>
    <row r="50" spans="1:7" x14ac:dyDescent="0.25">
      <c r="A50" s="172"/>
      <c r="B50" s="151" t="s">
        <v>257</v>
      </c>
      <c r="C50" s="152">
        <v>1652.29</v>
      </c>
      <c r="D50" s="166">
        <v>1870.68</v>
      </c>
      <c r="E50" s="136">
        <f t="shared" si="0"/>
        <v>218.3900000000001</v>
      </c>
      <c r="F50" s="114">
        <f>D50/C50*100</f>
        <v>113.21741340805791</v>
      </c>
      <c r="G50" s="122" t="s">
        <v>400</v>
      </c>
    </row>
    <row r="51" spans="1:7" ht="31.5" x14ac:dyDescent="0.25">
      <c r="A51" s="172"/>
      <c r="B51" s="151" t="s">
        <v>271</v>
      </c>
      <c r="C51" s="152">
        <v>900</v>
      </c>
      <c r="D51" s="166">
        <v>1056</v>
      </c>
      <c r="E51" s="136">
        <f t="shared" si="0"/>
        <v>156</v>
      </c>
      <c r="F51" s="114">
        <f>D51/C51*100</f>
        <v>117.33333333333333</v>
      </c>
      <c r="G51" s="122" t="s">
        <v>400</v>
      </c>
    </row>
    <row r="52" spans="1:7" ht="60.75" customHeight="1" x14ac:dyDescent="0.25">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x14ac:dyDescent="0.25">
      <c r="A53" s="172"/>
      <c r="B53" s="1166" t="s">
        <v>268</v>
      </c>
      <c r="C53" s="1167"/>
      <c r="D53" s="1167"/>
      <c r="E53" s="1167"/>
      <c r="F53" s="1167"/>
      <c r="G53" s="1168"/>
    </row>
    <row r="54" spans="1:7" x14ac:dyDescent="0.25">
      <c r="A54" s="172"/>
      <c r="B54" s="151" t="s">
        <v>257</v>
      </c>
      <c r="C54" s="175">
        <v>511</v>
      </c>
      <c r="D54" s="164">
        <v>0</v>
      </c>
      <c r="E54" s="165">
        <f t="shared" si="0"/>
        <v>-511</v>
      </c>
      <c r="F54" s="114">
        <f>D54/C54*100</f>
        <v>0</v>
      </c>
      <c r="G54" s="122" t="s">
        <v>400</v>
      </c>
    </row>
    <row r="55" spans="1:7" ht="31.5" x14ac:dyDescent="0.25">
      <c r="A55" s="172"/>
      <c r="B55" s="176" t="s">
        <v>273</v>
      </c>
      <c r="C55" s="152">
        <v>500</v>
      </c>
      <c r="D55" s="166">
        <v>0</v>
      </c>
      <c r="E55" s="136">
        <f t="shared" si="0"/>
        <v>-500</v>
      </c>
      <c r="F55" s="114">
        <f>D55/C55*100</f>
        <v>0</v>
      </c>
      <c r="G55" s="122" t="s">
        <v>400</v>
      </c>
    </row>
    <row r="56" spans="1:7" ht="47.25" x14ac:dyDescent="0.25">
      <c r="A56" s="172"/>
      <c r="B56" s="176" t="s">
        <v>274</v>
      </c>
      <c r="C56" s="152">
        <f>C54/C55</f>
        <v>1.022</v>
      </c>
      <c r="D56" s="166">
        <v>0</v>
      </c>
      <c r="E56" s="136">
        <f t="shared" si="0"/>
        <v>-1.022</v>
      </c>
      <c r="F56" s="114">
        <f>D56/C56*100</f>
        <v>0</v>
      </c>
      <c r="G56" s="122" t="s">
        <v>400</v>
      </c>
    </row>
    <row r="57" spans="1:7" x14ac:dyDescent="0.25">
      <c r="A57" s="172"/>
      <c r="B57" s="1170" t="s">
        <v>276</v>
      </c>
      <c r="C57" s="1171"/>
      <c r="D57" s="1171"/>
      <c r="E57" s="1171"/>
      <c r="F57" s="1171"/>
      <c r="G57" s="1172"/>
    </row>
    <row r="58" spans="1:7" ht="177" customHeight="1" x14ac:dyDescent="0.25">
      <c r="A58" s="172"/>
      <c r="B58" s="176" t="s">
        <v>266</v>
      </c>
      <c r="C58" s="174">
        <v>876</v>
      </c>
      <c r="D58" s="166">
        <v>0</v>
      </c>
      <c r="E58" s="136">
        <f t="shared" si="0"/>
        <v>-876</v>
      </c>
      <c r="F58" s="114">
        <f>D58/C58*100</f>
        <v>0</v>
      </c>
      <c r="G58" s="177" t="s">
        <v>388</v>
      </c>
    </row>
    <row r="59" spans="1:7" ht="31.5" x14ac:dyDescent="0.25">
      <c r="A59" s="172"/>
      <c r="B59" s="178" t="s">
        <v>277</v>
      </c>
      <c r="C59" s="179">
        <v>150</v>
      </c>
      <c r="D59" s="166">
        <v>0</v>
      </c>
      <c r="E59" s="136">
        <f t="shared" si="0"/>
        <v>-150</v>
      </c>
      <c r="F59" s="114">
        <f>D59/C59*100</f>
        <v>0</v>
      </c>
      <c r="G59" s="122" t="s">
        <v>400</v>
      </c>
    </row>
    <row r="60" spans="1:7" ht="47.25" x14ac:dyDescent="0.25">
      <c r="A60" s="172"/>
      <c r="B60" s="180" t="s">
        <v>278</v>
      </c>
      <c r="C60" s="155">
        <f>C58/C59</f>
        <v>5.84</v>
      </c>
      <c r="D60" s="166">
        <v>0</v>
      </c>
      <c r="E60" s="136">
        <f t="shared" si="0"/>
        <v>-5.84</v>
      </c>
      <c r="F60" s="114">
        <f>D60/C60*100</f>
        <v>0</v>
      </c>
      <c r="G60" s="122" t="s">
        <v>400</v>
      </c>
    </row>
    <row r="61" spans="1:7" ht="50.25" customHeight="1" x14ac:dyDescent="0.25">
      <c r="A61" s="172"/>
      <c r="B61" s="176" t="s">
        <v>270</v>
      </c>
      <c r="C61" s="181">
        <v>4.5</v>
      </c>
      <c r="D61" s="182">
        <v>3.1</v>
      </c>
      <c r="E61" s="145">
        <f t="shared" si="0"/>
        <v>-1.4</v>
      </c>
      <c r="F61" s="114">
        <f>D61/C61*100</f>
        <v>68.888888888888886</v>
      </c>
      <c r="G61" s="122" t="s">
        <v>400</v>
      </c>
    </row>
    <row r="62" spans="1:7" x14ac:dyDescent="0.25">
      <c r="A62" s="172" t="s">
        <v>69</v>
      </c>
      <c r="B62" s="1136" t="s">
        <v>70</v>
      </c>
      <c r="C62" s="1137"/>
      <c r="D62" s="1137"/>
      <c r="E62" s="1137"/>
      <c r="F62" s="1137"/>
      <c r="G62" s="1138"/>
    </row>
    <row r="63" spans="1:7" ht="233.25" customHeight="1" x14ac:dyDescent="0.25">
      <c r="A63" s="162"/>
      <c r="B63" s="178" t="s">
        <v>279</v>
      </c>
      <c r="C63" s="179">
        <v>125.04</v>
      </c>
      <c r="D63" s="161">
        <v>0</v>
      </c>
      <c r="E63" s="136">
        <f t="shared" si="0"/>
        <v>-125.04</v>
      </c>
      <c r="F63" s="114">
        <f>D63/C63*100</f>
        <v>0</v>
      </c>
      <c r="G63" s="122" t="s">
        <v>389</v>
      </c>
    </row>
    <row r="64" spans="1:7" ht="31.5" x14ac:dyDescent="0.25">
      <c r="A64" s="144"/>
      <c r="B64" s="183" t="s">
        <v>280</v>
      </c>
      <c r="C64" s="179">
        <v>750</v>
      </c>
      <c r="D64" s="161">
        <v>268</v>
      </c>
      <c r="E64" s="136">
        <f t="shared" si="0"/>
        <v>-482</v>
      </c>
      <c r="F64" s="114">
        <f>D64/C64*100</f>
        <v>35.733333333333334</v>
      </c>
      <c r="G64" s="122" t="s">
        <v>400</v>
      </c>
    </row>
    <row r="65" spans="1:7" ht="31.5" x14ac:dyDescent="0.25">
      <c r="A65" s="144"/>
      <c r="B65" s="183" t="s">
        <v>281</v>
      </c>
      <c r="C65" s="184">
        <f>C63/C64</f>
        <v>0.16672000000000001</v>
      </c>
      <c r="D65" s="161">
        <v>0</v>
      </c>
      <c r="E65" s="136">
        <f t="shared" si="0"/>
        <v>-0.16672000000000001</v>
      </c>
      <c r="F65" s="114">
        <f>D65/C65*100</f>
        <v>0</v>
      </c>
      <c r="G65" s="122" t="s">
        <v>400</v>
      </c>
    </row>
    <row r="66" spans="1:7" ht="63" x14ac:dyDescent="0.25">
      <c r="A66" s="144"/>
      <c r="B66" s="183" t="s">
        <v>282</v>
      </c>
      <c r="C66" s="179">
        <v>100</v>
      </c>
      <c r="D66" s="161">
        <v>43.6</v>
      </c>
      <c r="E66" s="136">
        <f t="shared" si="0"/>
        <v>-56.4</v>
      </c>
      <c r="F66" s="114">
        <f>D66/C66*100</f>
        <v>43.6</v>
      </c>
      <c r="G66" s="122" t="s">
        <v>400</v>
      </c>
    </row>
    <row r="67" spans="1:7" x14ac:dyDescent="0.25">
      <c r="A67" s="144" t="s">
        <v>283</v>
      </c>
      <c r="B67" s="1136" t="s">
        <v>6</v>
      </c>
      <c r="C67" s="1137"/>
      <c r="D67" s="1137"/>
      <c r="E67" s="1137"/>
      <c r="F67" s="1137"/>
      <c r="G67" s="1138"/>
    </row>
    <row r="68" spans="1:7" ht="34.5" customHeight="1" x14ac:dyDescent="0.25">
      <c r="A68" s="169"/>
      <c r="B68" s="185" t="s">
        <v>72</v>
      </c>
      <c r="C68" s="160"/>
      <c r="D68" s="161"/>
      <c r="E68" s="136"/>
      <c r="F68" s="114"/>
      <c r="G68" s="115"/>
    </row>
    <row r="69" spans="1:7" ht="18.75" x14ac:dyDescent="0.25">
      <c r="A69" s="169"/>
      <c r="B69" s="151" t="s">
        <v>257</v>
      </c>
      <c r="C69" s="152">
        <v>2902.74</v>
      </c>
      <c r="D69" s="168">
        <v>1016.67</v>
      </c>
      <c r="E69" s="186">
        <f t="shared" si="0"/>
        <v>-1886.0699999999997</v>
      </c>
      <c r="F69" s="114">
        <f>D69/C69*100</f>
        <v>35.024494098679185</v>
      </c>
      <c r="G69" s="122" t="s">
        <v>400</v>
      </c>
    </row>
    <row r="70" spans="1:7" ht="31.5" x14ac:dyDescent="0.25">
      <c r="A70" s="169"/>
      <c r="B70" s="151" t="s">
        <v>284</v>
      </c>
      <c r="C70" s="155">
        <v>35000</v>
      </c>
      <c r="D70" s="168">
        <v>19512</v>
      </c>
      <c r="E70" s="186">
        <f t="shared" si="0"/>
        <v>-15488</v>
      </c>
      <c r="F70" s="114">
        <f>D70/C70*100</f>
        <v>55.748571428571424</v>
      </c>
      <c r="G70" s="122" t="s">
        <v>400</v>
      </c>
    </row>
    <row r="71" spans="1:7" ht="31.5" x14ac:dyDescent="0.25">
      <c r="A71" s="169"/>
      <c r="B71" s="151" t="s">
        <v>285</v>
      </c>
      <c r="C71" s="174">
        <f>C69/C70</f>
        <v>8.2935428571428563E-2</v>
      </c>
      <c r="D71" s="168">
        <v>0.05</v>
      </c>
      <c r="E71" s="186">
        <f t="shared" si="0"/>
        <v>-3.293542857142856E-2</v>
      </c>
      <c r="F71" s="114">
        <f>D71/C71*100</f>
        <v>60.287865947346312</v>
      </c>
      <c r="G71" s="122" t="s">
        <v>400</v>
      </c>
    </row>
    <row r="72" spans="1:7" ht="63" x14ac:dyDescent="0.25">
      <c r="A72" s="169"/>
      <c r="B72" s="151" t="s">
        <v>286</v>
      </c>
      <c r="C72" s="152">
        <v>100</v>
      </c>
      <c r="D72" s="168">
        <v>100</v>
      </c>
      <c r="E72" s="186">
        <f t="shared" si="0"/>
        <v>0</v>
      </c>
      <c r="F72" s="114">
        <f>D72/C72*100</f>
        <v>100</v>
      </c>
      <c r="G72" s="122" t="s">
        <v>400</v>
      </c>
    </row>
    <row r="73" spans="1:7" x14ac:dyDescent="0.25">
      <c r="A73" s="169"/>
      <c r="B73" s="1136" t="s">
        <v>73</v>
      </c>
      <c r="C73" s="1137"/>
      <c r="D73" s="1137"/>
      <c r="E73" s="1137"/>
      <c r="F73" s="1137"/>
      <c r="G73" s="1138"/>
    </row>
    <row r="74" spans="1:7" ht="227.25" customHeight="1" x14ac:dyDescent="0.25">
      <c r="A74" s="169"/>
      <c r="B74" s="176" t="s">
        <v>287</v>
      </c>
      <c r="C74" s="163">
        <v>1714.58</v>
      </c>
      <c r="D74" s="187">
        <v>219.21</v>
      </c>
      <c r="E74" s="188">
        <f t="shared" si="0"/>
        <v>-1495.37</v>
      </c>
      <c r="F74" s="118">
        <f>D74/C74*100</f>
        <v>12.785055232185142</v>
      </c>
      <c r="G74" s="122" t="s">
        <v>401</v>
      </c>
    </row>
    <row r="75" spans="1:7" ht="63" x14ac:dyDescent="0.25">
      <c r="A75" s="169"/>
      <c r="B75" s="151" t="s">
        <v>288</v>
      </c>
      <c r="C75" s="155">
        <v>300</v>
      </c>
      <c r="D75" s="189">
        <v>132</v>
      </c>
      <c r="E75" s="186">
        <f t="shared" si="0"/>
        <v>-168</v>
      </c>
      <c r="F75" s="114">
        <f>D75/C75*100</f>
        <v>44</v>
      </c>
      <c r="G75" s="122" t="s">
        <v>400</v>
      </c>
    </row>
    <row r="76" spans="1:7" ht="47.25" x14ac:dyDescent="0.25">
      <c r="A76" s="169"/>
      <c r="B76" s="151" t="s">
        <v>289</v>
      </c>
      <c r="C76" s="181">
        <f>C74/C75</f>
        <v>5.7152666666666665</v>
      </c>
      <c r="D76" s="189">
        <v>1.66</v>
      </c>
      <c r="E76" s="186">
        <f t="shared" si="0"/>
        <v>-4.0552666666666664</v>
      </c>
      <c r="F76" s="114">
        <f>D76/C76*100</f>
        <v>29.045013939273755</v>
      </c>
      <c r="G76" s="122" t="s">
        <v>400</v>
      </c>
    </row>
    <row r="77" spans="1:7" ht="84" customHeight="1" x14ac:dyDescent="0.25">
      <c r="A77" s="169"/>
      <c r="B77" s="151" t="s">
        <v>290</v>
      </c>
      <c r="C77" s="152">
        <v>100</v>
      </c>
      <c r="D77" s="189">
        <v>55.2</v>
      </c>
      <c r="E77" s="186">
        <f t="shared" si="0"/>
        <v>-44.8</v>
      </c>
      <c r="F77" s="114">
        <f>D77/C77*100</f>
        <v>55.2</v>
      </c>
      <c r="G77" s="122" t="s">
        <v>400</v>
      </c>
    </row>
    <row r="78" spans="1:7" x14ac:dyDescent="0.25">
      <c r="A78" s="169"/>
      <c r="B78" s="1136" t="s">
        <v>74</v>
      </c>
      <c r="C78" s="1137"/>
      <c r="D78" s="1137"/>
      <c r="E78" s="1137"/>
      <c r="F78" s="1137"/>
      <c r="G78" s="1138"/>
    </row>
    <row r="79" spans="1:7" ht="63" x14ac:dyDescent="0.25">
      <c r="A79" s="169"/>
      <c r="B79" s="151" t="s">
        <v>291</v>
      </c>
      <c r="C79" s="155">
        <v>300</v>
      </c>
      <c r="D79" s="143">
        <v>100</v>
      </c>
      <c r="E79" s="136">
        <f t="shared" si="0"/>
        <v>-200</v>
      </c>
      <c r="F79" s="114">
        <f>D79/C79*100</f>
        <v>33.333333333333329</v>
      </c>
      <c r="G79" s="122" t="s">
        <v>400</v>
      </c>
    </row>
    <row r="80" spans="1:7" ht="78.75" x14ac:dyDescent="0.25">
      <c r="A80" s="169"/>
      <c r="B80" s="151" t="s">
        <v>295</v>
      </c>
      <c r="C80" s="152">
        <v>99.5</v>
      </c>
      <c r="D80" s="161">
        <v>100</v>
      </c>
      <c r="E80" s="136">
        <f t="shared" si="0"/>
        <v>0.5</v>
      </c>
      <c r="F80" s="114">
        <f>D80/C80*100</f>
        <v>100.50251256281406</v>
      </c>
      <c r="G80" s="122" t="s">
        <v>400</v>
      </c>
    </row>
    <row r="81" spans="1:24" ht="39" customHeight="1" x14ac:dyDescent="0.25">
      <c r="A81" s="169" t="s">
        <v>75</v>
      </c>
      <c r="B81" s="1166" t="s">
        <v>76</v>
      </c>
      <c r="C81" s="1167"/>
      <c r="D81" s="1167"/>
      <c r="E81" s="1167"/>
      <c r="F81" s="1167"/>
      <c r="G81" s="1168"/>
    </row>
    <row r="82" spans="1:24" x14ac:dyDescent="0.25">
      <c r="A82" s="169"/>
      <c r="B82" s="151" t="s">
        <v>249</v>
      </c>
      <c r="C82" s="175">
        <v>150</v>
      </c>
      <c r="D82" s="161">
        <v>22.44</v>
      </c>
      <c r="E82" s="165">
        <f t="shared" si="0"/>
        <v>-127.56</v>
      </c>
      <c r="F82" s="118">
        <f>D82/C82*100</f>
        <v>14.96</v>
      </c>
      <c r="G82" s="122" t="s">
        <v>400</v>
      </c>
    </row>
    <row r="83" spans="1:24" ht="63" x14ac:dyDescent="0.25">
      <c r="A83" s="169"/>
      <c r="B83" s="151" t="s">
        <v>292</v>
      </c>
      <c r="C83" s="155">
        <v>60</v>
      </c>
      <c r="D83" s="161">
        <v>294</v>
      </c>
      <c r="E83" s="136">
        <f t="shared" si="0"/>
        <v>234</v>
      </c>
      <c r="F83" s="114">
        <f>D83/C83*100</f>
        <v>490.00000000000006</v>
      </c>
      <c r="G83" s="122" t="s">
        <v>400</v>
      </c>
    </row>
    <row r="84" spans="1:24" ht="31.5" x14ac:dyDescent="0.25">
      <c r="A84" s="169"/>
      <c r="B84" s="151" t="s">
        <v>293</v>
      </c>
      <c r="C84" s="181">
        <f>C82/C83</f>
        <v>2.5</v>
      </c>
      <c r="D84" s="161">
        <f>D82/D83</f>
        <v>7.6326530612244897E-2</v>
      </c>
      <c r="E84" s="136">
        <f t="shared" si="0"/>
        <v>-2.4236734693877553</v>
      </c>
      <c r="F84" s="114">
        <f>D84/C84*100</f>
        <v>3.0530612244897957</v>
      </c>
      <c r="G84" s="122" t="s">
        <v>400</v>
      </c>
    </row>
    <row r="85" spans="1:24" ht="47.25" x14ac:dyDescent="0.25">
      <c r="A85" s="169"/>
      <c r="B85" s="151" t="s">
        <v>294</v>
      </c>
      <c r="C85" s="155">
        <v>75</v>
      </c>
      <c r="D85" s="161">
        <v>0</v>
      </c>
      <c r="E85" s="136">
        <f t="shared" si="0"/>
        <v>-75</v>
      </c>
      <c r="F85" s="114">
        <f>D85/C85*100</f>
        <v>0</v>
      </c>
      <c r="G85" s="122" t="s">
        <v>400</v>
      </c>
    </row>
    <row r="86" spans="1:24" x14ac:dyDescent="0.25">
      <c r="A86" s="128" t="s">
        <v>78</v>
      </c>
      <c r="B86" s="1133" t="s">
        <v>77</v>
      </c>
      <c r="C86" s="1134"/>
      <c r="D86" s="1134"/>
      <c r="E86" s="1134"/>
      <c r="F86" s="1134"/>
      <c r="G86" s="1135"/>
    </row>
    <row r="87" spans="1:24" ht="23.25" customHeight="1" x14ac:dyDescent="0.25">
      <c r="A87" s="190" t="s">
        <v>296</v>
      </c>
      <c r="B87" s="1136" t="s">
        <v>79</v>
      </c>
      <c r="C87" s="1137"/>
      <c r="D87" s="1137"/>
      <c r="E87" s="1137"/>
      <c r="F87" s="1137"/>
      <c r="G87" s="1138"/>
    </row>
    <row r="88" spans="1:24" ht="132.75" customHeight="1" x14ac:dyDescent="0.25">
      <c r="A88" s="128"/>
      <c r="B88" s="176" t="s">
        <v>249</v>
      </c>
      <c r="C88" s="155">
        <v>6653.18</v>
      </c>
      <c r="D88" s="191">
        <v>585.12</v>
      </c>
      <c r="E88" s="191">
        <f>D88-C88</f>
        <v>-6068.06</v>
      </c>
      <c r="F88" s="192">
        <f>D88/C88*100</f>
        <v>8.7945914585205873</v>
      </c>
      <c r="G88" s="193" t="s">
        <v>393</v>
      </c>
    </row>
    <row r="89" spans="1:24" x14ac:dyDescent="0.25">
      <c r="A89" s="128"/>
      <c r="B89" s="151" t="s">
        <v>238</v>
      </c>
      <c r="C89" s="163"/>
      <c r="D89" s="194"/>
      <c r="E89" s="194"/>
      <c r="F89" s="195"/>
      <c r="G89" s="193"/>
    </row>
    <row r="90" spans="1:24" x14ac:dyDescent="0.25">
      <c r="A90" s="128"/>
      <c r="B90" s="196" t="s">
        <v>240</v>
      </c>
      <c r="C90" s="152">
        <v>160000</v>
      </c>
      <c r="D90" s="191">
        <v>55311</v>
      </c>
      <c r="E90" s="191">
        <f t="shared" ref="E90:E113" si="1">D90-C90</f>
        <v>-104689</v>
      </c>
      <c r="F90" s="192">
        <f t="shared" ref="F90:F113" si="2">D90/C90*100</f>
        <v>34.569375000000001</v>
      </c>
      <c r="G90" s="122" t="s">
        <v>400</v>
      </c>
    </row>
    <row r="91" spans="1:24" x14ac:dyDescent="0.25">
      <c r="A91" s="128"/>
      <c r="B91" s="196" t="s">
        <v>239</v>
      </c>
      <c r="C91" s="152">
        <v>3520</v>
      </c>
      <c r="D91" s="191">
        <v>1685</v>
      </c>
      <c r="E91" s="191">
        <f t="shared" si="1"/>
        <v>-1835</v>
      </c>
      <c r="F91" s="192">
        <f t="shared" si="2"/>
        <v>47.86931818181818</v>
      </c>
      <c r="G91" s="122" t="s">
        <v>400</v>
      </c>
    </row>
    <row r="92" spans="1:24" s="198" customFormat="1" ht="48" customHeight="1" x14ac:dyDescent="0.25">
      <c r="A92" s="197" t="s">
        <v>297</v>
      </c>
      <c r="B92" s="1136" t="s">
        <v>326</v>
      </c>
      <c r="C92" s="1137"/>
      <c r="D92" s="1137"/>
      <c r="E92" s="1137"/>
      <c r="F92" s="1137"/>
      <c r="G92" s="1138"/>
      <c r="H92" s="124"/>
      <c r="I92" s="124"/>
      <c r="J92" s="124"/>
      <c r="K92" s="124"/>
      <c r="L92" s="124"/>
      <c r="M92" s="124"/>
      <c r="N92" s="124"/>
      <c r="O92" s="124"/>
      <c r="P92" s="124"/>
      <c r="Q92" s="124"/>
      <c r="R92" s="124"/>
      <c r="S92" s="124"/>
      <c r="T92" s="124"/>
      <c r="U92" s="124"/>
      <c r="V92" s="124"/>
      <c r="W92" s="124"/>
      <c r="X92" s="124"/>
    </row>
    <row r="93" spans="1:24" ht="47.25" x14ac:dyDescent="0.25">
      <c r="A93" s="128"/>
      <c r="B93" s="183" t="s">
        <v>304</v>
      </c>
      <c r="C93" s="199">
        <v>33</v>
      </c>
      <c r="D93" s="191">
        <v>58</v>
      </c>
      <c r="E93" s="191">
        <f t="shared" si="1"/>
        <v>25</v>
      </c>
      <c r="F93" s="192">
        <f t="shared" si="2"/>
        <v>175.75757575757575</v>
      </c>
      <c r="G93" s="122" t="s">
        <v>403</v>
      </c>
    </row>
    <row r="94" spans="1:24" ht="47.25" x14ac:dyDescent="0.25">
      <c r="A94" s="200"/>
      <c r="B94" s="151" t="s">
        <v>305</v>
      </c>
      <c r="C94" s="155">
        <v>40</v>
      </c>
      <c r="D94" s="201">
        <v>0</v>
      </c>
      <c r="E94" s="191">
        <f t="shared" si="1"/>
        <v>-40</v>
      </c>
      <c r="F94" s="191">
        <f t="shared" si="2"/>
        <v>0</v>
      </c>
      <c r="G94" s="122" t="s">
        <v>403</v>
      </c>
    </row>
    <row r="95" spans="1:24" s="198" customFormat="1" ht="25.5" customHeight="1" x14ac:dyDescent="0.25">
      <c r="A95" s="197" t="s">
        <v>298</v>
      </c>
      <c r="B95" s="1136" t="s">
        <v>82</v>
      </c>
      <c r="C95" s="1137"/>
      <c r="D95" s="1137"/>
      <c r="E95" s="1137"/>
      <c r="F95" s="1137"/>
      <c r="G95" s="1138"/>
      <c r="H95" s="124"/>
      <c r="I95" s="124"/>
      <c r="J95" s="124"/>
      <c r="K95" s="124"/>
      <c r="L95" s="124"/>
      <c r="M95" s="124"/>
      <c r="N95" s="124"/>
      <c r="O95" s="124"/>
      <c r="P95" s="124"/>
      <c r="Q95" s="124"/>
      <c r="R95" s="124"/>
      <c r="S95" s="124"/>
      <c r="T95" s="124"/>
      <c r="U95" s="124"/>
      <c r="V95" s="124"/>
      <c r="W95" s="124"/>
      <c r="X95" s="124"/>
    </row>
    <row r="96" spans="1:24" ht="54" customHeight="1" x14ac:dyDescent="0.25">
      <c r="A96" s="128"/>
      <c r="B96" s="151" t="s">
        <v>300</v>
      </c>
      <c r="C96" s="152">
        <v>10</v>
      </c>
      <c r="D96" s="191">
        <v>3</v>
      </c>
      <c r="E96" s="191">
        <f t="shared" si="1"/>
        <v>-7</v>
      </c>
      <c r="F96" s="191">
        <f t="shared" si="2"/>
        <v>30</v>
      </c>
      <c r="G96" s="122" t="s">
        <v>400</v>
      </c>
    </row>
    <row r="97" spans="1:24" ht="75" customHeight="1" x14ac:dyDescent="0.25">
      <c r="A97" s="128"/>
      <c r="B97" s="151" t="s">
        <v>301</v>
      </c>
      <c r="C97" s="152">
        <v>40</v>
      </c>
      <c r="D97" s="191">
        <v>12</v>
      </c>
      <c r="E97" s="191">
        <f t="shared" si="1"/>
        <v>-28</v>
      </c>
      <c r="F97" s="191">
        <f t="shared" si="2"/>
        <v>30</v>
      </c>
      <c r="G97" s="122" t="s">
        <v>400</v>
      </c>
    </row>
    <row r="98" spans="1:24" s="198" customFormat="1" ht="38.25" customHeight="1" x14ac:dyDescent="0.25">
      <c r="A98" s="197" t="s">
        <v>299</v>
      </c>
      <c r="B98" s="1136" t="s">
        <v>84</v>
      </c>
      <c r="C98" s="1137"/>
      <c r="D98" s="1137"/>
      <c r="E98" s="1137"/>
      <c r="F98" s="1137"/>
      <c r="G98" s="1138"/>
      <c r="H98" s="124"/>
      <c r="I98" s="124"/>
      <c r="J98" s="124"/>
      <c r="K98" s="124"/>
      <c r="L98" s="124"/>
      <c r="M98" s="124"/>
      <c r="N98" s="124"/>
      <c r="O98" s="124"/>
      <c r="P98" s="124"/>
      <c r="Q98" s="124"/>
      <c r="R98" s="124"/>
      <c r="S98" s="124"/>
      <c r="T98" s="124"/>
      <c r="U98" s="124"/>
      <c r="V98" s="124"/>
      <c r="W98" s="124"/>
      <c r="X98" s="124"/>
    </row>
    <row r="99" spans="1:24" ht="47.25" x14ac:dyDescent="0.25">
      <c r="A99" s="128"/>
      <c r="B99" s="183" t="s">
        <v>302</v>
      </c>
      <c r="C99" s="179">
        <v>25</v>
      </c>
      <c r="D99" s="191">
        <v>0</v>
      </c>
      <c r="E99" s="191">
        <f t="shared" si="1"/>
        <v>-25</v>
      </c>
      <c r="F99" s="191">
        <f t="shared" si="2"/>
        <v>0</v>
      </c>
      <c r="G99" s="122" t="s">
        <v>400</v>
      </c>
    </row>
    <row r="100" spans="1:24" ht="47.25" x14ac:dyDescent="0.25">
      <c r="A100" s="200"/>
      <c r="B100" s="151" t="s">
        <v>303</v>
      </c>
      <c r="C100" s="152">
        <v>50</v>
      </c>
      <c r="D100" s="201">
        <v>0</v>
      </c>
      <c r="E100" s="191">
        <f t="shared" si="1"/>
        <v>-50</v>
      </c>
      <c r="F100" s="191">
        <f t="shared" si="2"/>
        <v>0</v>
      </c>
      <c r="G100" s="122" t="s">
        <v>400</v>
      </c>
    </row>
    <row r="101" spans="1:24" s="198" customFormat="1" ht="21.75" customHeight="1" x14ac:dyDescent="0.25">
      <c r="A101" s="197" t="s">
        <v>306</v>
      </c>
      <c r="B101" s="1136" t="s">
        <v>86</v>
      </c>
      <c r="C101" s="1137"/>
      <c r="D101" s="1137"/>
      <c r="E101" s="1137"/>
      <c r="F101" s="1137"/>
      <c r="G101" s="1138"/>
      <c r="H101" s="124"/>
      <c r="I101" s="124"/>
      <c r="J101" s="124"/>
      <c r="K101" s="124"/>
      <c r="L101" s="124"/>
      <c r="M101" s="124"/>
      <c r="N101" s="124"/>
      <c r="O101" s="124"/>
      <c r="P101" s="124"/>
      <c r="Q101" s="124"/>
      <c r="R101" s="124"/>
      <c r="S101" s="124"/>
      <c r="T101" s="124"/>
      <c r="U101" s="124"/>
      <c r="V101" s="124"/>
      <c r="W101" s="124"/>
      <c r="X101" s="124"/>
    </row>
    <row r="102" spans="1:24" ht="31.5" x14ac:dyDescent="0.25">
      <c r="A102" s="200"/>
      <c r="B102" s="151" t="s">
        <v>307</v>
      </c>
      <c r="C102" s="163">
        <v>1200</v>
      </c>
      <c r="D102" s="202">
        <v>0</v>
      </c>
      <c r="E102" s="194">
        <f t="shared" si="1"/>
        <v>-1200</v>
      </c>
      <c r="F102" s="194">
        <f t="shared" si="2"/>
        <v>0</v>
      </c>
      <c r="G102" s="193" t="s">
        <v>390</v>
      </c>
    </row>
    <row r="103" spans="1:24" ht="31.5" x14ac:dyDescent="0.25">
      <c r="A103" s="200"/>
      <c r="B103" s="151" t="s">
        <v>308</v>
      </c>
      <c r="C103" s="152">
        <v>2</v>
      </c>
      <c r="D103" s="201">
        <v>0</v>
      </c>
      <c r="E103" s="191">
        <f t="shared" si="1"/>
        <v>-2</v>
      </c>
      <c r="F103" s="191">
        <f t="shared" si="2"/>
        <v>0</v>
      </c>
      <c r="G103" s="122" t="s">
        <v>400</v>
      </c>
    </row>
    <row r="104" spans="1:24" ht="47.25" x14ac:dyDescent="0.25">
      <c r="A104" s="200"/>
      <c r="B104" s="151" t="s">
        <v>309</v>
      </c>
      <c r="C104" s="155">
        <v>450</v>
      </c>
      <c r="D104" s="201">
        <v>0</v>
      </c>
      <c r="E104" s="191">
        <f t="shared" si="1"/>
        <v>-450</v>
      </c>
      <c r="F104" s="191">
        <f t="shared" si="2"/>
        <v>0</v>
      </c>
      <c r="G104" s="122" t="s">
        <v>400</v>
      </c>
    </row>
    <row r="105" spans="1:24" ht="47.25" x14ac:dyDescent="0.25">
      <c r="A105" s="200"/>
      <c r="B105" s="151" t="s">
        <v>310</v>
      </c>
      <c r="C105" s="152">
        <v>600</v>
      </c>
      <c r="D105" s="201">
        <v>0</v>
      </c>
      <c r="E105" s="191">
        <f t="shared" si="1"/>
        <v>-600</v>
      </c>
      <c r="F105" s="191">
        <f t="shared" si="2"/>
        <v>0</v>
      </c>
      <c r="G105" s="122" t="s">
        <v>400</v>
      </c>
    </row>
    <row r="106" spans="1:24" ht="63" x14ac:dyDescent="0.25">
      <c r="A106" s="200"/>
      <c r="B106" s="151" t="s">
        <v>311</v>
      </c>
      <c r="C106" s="152">
        <v>60</v>
      </c>
      <c r="D106" s="201">
        <v>0</v>
      </c>
      <c r="E106" s="191">
        <f t="shared" si="1"/>
        <v>-60</v>
      </c>
      <c r="F106" s="191">
        <f t="shared" si="2"/>
        <v>0</v>
      </c>
      <c r="G106" s="122" t="s">
        <v>400</v>
      </c>
    </row>
    <row r="107" spans="1:24" ht="23.25" customHeight="1" x14ac:dyDescent="0.25">
      <c r="A107" s="128" t="s">
        <v>312</v>
      </c>
      <c r="B107" s="1136" t="s">
        <v>89</v>
      </c>
      <c r="C107" s="1137"/>
      <c r="D107" s="1137"/>
      <c r="E107" s="1137"/>
      <c r="F107" s="1137"/>
      <c r="G107" s="1138"/>
    </row>
    <row r="108" spans="1:24" x14ac:dyDescent="0.25">
      <c r="A108" s="128"/>
      <c r="B108" s="151" t="s">
        <v>249</v>
      </c>
      <c r="C108" s="163">
        <v>1200.7</v>
      </c>
      <c r="D108" s="194">
        <v>238.56</v>
      </c>
      <c r="E108" s="194">
        <f t="shared" si="1"/>
        <v>-962.1400000000001</v>
      </c>
      <c r="F108" s="195">
        <f t="shared" si="2"/>
        <v>19.86841009411177</v>
      </c>
      <c r="G108" s="122" t="s">
        <v>400</v>
      </c>
    </row>
    <row r="109" spans="1:24" ht="31.5" x14ac:dyDescent="0.25">
      <c r="A109" s="128"/>
      <c r="B109" s="151" t="s">
        <v>314</v>
      </c>
      <c r="C109" s="152">
        <v>2170</v>
      </c>
      <c r="D109" s="191">
        <v>470</v>
      </c>
      <c r="E109" s="191">
        <f t="shared" si="1"/>
        <v>-1700</v>
      </c>
      <c r="F109" s="192">
        <f t="shared" si="2"/>
        <v>21.658986175115206</v>
      </c>
      <c r="G109" s="122" t="s">
        <v>400</v>
      </c>
    </row>
    <row r="110" spans="1:24" ht="31.5" x14ac:dyDescent="0.25">
      <c r="A110" s="128"/>
      <c r="B110" s="151" t="s">
        <v>315</v>
      </c>
      <c r="C110" s="155">
        <v>0.55000000000000004</v>
      </c>
      <c r="D110" s="203">
        <f>D108/D109</f>
        <v>0.50757446808510642</v>
      </c>
      <c r="E110" s="203">
        <f t="shared" si="1"/>
        <v>-4.2425531914893622E-2</v>
      </c>
      <c r="F110" s="192">
        <f t="shared" si="2"/>
        <v>92.286266924564799</v>
      </c>
      <c r="G110" s="122" t="s">
        <v>400</v>
      </c>
    </row>
    <row r="111" spans="1:24" ht="47.25" x14ac:dyDescent="0.25">
      <c r="A111" s="128"/>
      <c r="B111" s="151" t="s">
        <v>316</v>
      </c>
      <c r="C111" s="152">
        <v>5</v>
      </c>
      <c r="D111" s="191">
        <v>4.7</v>
      </c>
      <c r="E111" s="191">
        <f t="shared" si="1"/>
        <v>-0.29999999999999982</v>
      </c>
      <c r="F111" s="191">
        <f t="shared" si="2"/>
        <v>94</v>
      </c>
      <c r="G111" s="122" t="s">
        <v>400</v>
      </c>
    </row>
    <row r="112" spans="1:24" s="198" customFormat="1" ht="23.25" customHeight="1" x14ac:dyDescent="0.25">
      <c r="A112" s="197" t="s">
        <v>313</v>
      </c>
      <c r="B112" s="1136" t="s">
        <v>95</v>
      </c>
      <c r="C112" s="1137"/>
      <c r="D112" s="1137"/>
      <c r="E112" s="1137"/>
      <c r="F112" s="1137"/>
      <c r="G112" s="1138"/>
      <c r="H112" s="124"/>
      <c r="I112" s="124"/>
      <c r="J112" s="124"/>
      <c r="K112" s="124"/>
      <c r="L112" s="124"/>
      <c r="M112" s="124"/>
      <c r="N112" s="124"/>
      <c r="O112" s="124"/>
      <c r="P112" s="124"/>
      <c r="Q112" s="124"/>
      <c r="R112" s="124"/>
      <c r="S112" s="124"/>
      <c r="T112" s="124"/>
      <c r="U112" s="124"/>
      <c r="V112" s="124"/>
      <c r="W112" s="124"/>
      <c r="X112" s="124"/>
    </row>
    <row r="113" spans="1:24" ht="47.25" x14ac:dyDescent="0.25">
      <c r="A113" s="128"/>
      <c r="B113" s="151" t="s">
        <v>317</v>
      </c>
      <c r="C113" s="152">
        <v>15</v>
      </c>
      <c r="D113" s="191">
        <v>0</v>
      </c>
      <c r="E113" s="191">
        <f t="shared" si="1"/>
        <v>-15</v>
      </c>
      <c r="F113" s="191">
        <f t="shared" si="2"/>
        <v>0</v>
      </c>
      <c r="G113" s="122" t="s">
        <v>400</v>
      </c>
    </row>
    <row r="114" spans="1:24" ht="47.25" x14ac:dyDescent="0.25">
      <c r="A114" s="128"/>
      <c r="B114" s="151" t="s">
        <v>318</v>
      </c>
      <c r="C114" s="163"/>
      <c r="D114" s="146"/>
      <c r="E114" s="204"/>
      <c r="F114" s="204"/>
      <c r="G114" s="146"/>
    </row>
    <row r="115" spans="1:24" x14ac:dyDescent="0.25">
      <c r="A115" s="205" t="s">
        <v>98</v>
      </c>
      <c r="B115" s="1169" t="s">
        <v>97</v>
      </c>
      <c r="C115" s="1169"/>
      <c r="D115" s="1169"/>
      <c r="E115" s="1169"/>
      <c r="F115" s="1169"/>
      <c r="G115" s="1169"/>
    </row>
    <row r="116" spans="1:24" x14ac:dyDescent="0.25">
      <c r="A116" s="207"/>
      <c r="B116" s="1169" t="s">
        <v>100</v>
      </c>
      <c r="C116" s="1169"/>
      <c r="D116" s="1169"/>
      <c r="E116" s="1169"/>
      <c r="F116" s="1169"/>
      <c r="G116" s="1169"/>
    </row>
    <row r="117" spans="1:24" ht="63" x14ac:dyDescent="0.25">
      <c r="A117" s="207"/>
      <c r="B117" s="146" t="s">
        <v>210</v>
      </c>
      <c r="C117" s="116">
        <v>500</v>
      </c>
      <c r="D117" s="117">
        <v>143</v>
      </c>
      <c r="E117" s="143">
        <f t="shared" ref="E117:E124" si="3">D117-C117</f>
        <v>-357</v>
      </c>
      <c r="F117" s="143">
        <f>D117/C117*100</f>
        <v>28.599999999999998</v>
      </c>
      <c r="G117" s="122" t="s">
        <v>402</v>
      </c>
    </row>
    <row r="118" spans="1:24" ht="63" x14ac:dyDescent="0.25">
      <c r="A118" s="207"/>
      <c r="B118" s="146" t="s">
        <v>211</v>
      </c>
      <c r="C118" s="114">
        <v>50</v>
      </c>
      <c r="D118" s="143">
        <v>24</v>
      </c>
      <c r="E118" s="143">
        <f t="shared" si="3"/>
        <v>-26</v>
      </c>
      <c r="F118" s="143">
        <f>D118/C118*100</f>
        <v>48</v>
      </c>
      <c r="G118" s="122" t="s">
        <v>400</v>
      </c>
    </row>
    <row r="119" spans="1:24" s="149" customFormat="1" x14ac:dyDescent="0.25">
      <c r="A119" s="208"/>
      <c r="B119" s="1142" t="s">
        <v>101</v>
      </c>
      <c r="C119" s="1142"/>
      <c r="D119" s="1142"/>
      <c r="E119" s="1142"/>
      <c r="F119" s="1142"/>
      <c r="G119" s="1143"/>
      <c r="H119" s="124"/>
      <c r="I119" s="124"/>
      <c r="J119" s="124"/>
      <c r="K119" s="124"/>
      <c r="L119" s="124"/>
      <c r="M119" s="124"/>
      <c r="N119" s="124"/>
      <c r="O119" s="124"/>
      <c r="P119" s="124"/>
      <c r="Q119" s="124"/>
      <c r="R119" s="124"/>
      <c r="S119" s="124"/>
      <c r="T119" s="124"/>
      <c r="U119" s="124"/>
      <c r="V119" s="124"/>
      <c r="W119" s="124"/>
      <c r="X119" s="124"/>
    </row>
    <row r="120" spans="1:24" ht="63" x14ac:dyDescent="0.25">
      <c r="A120" s="209"/>
      <c r="B120" s="113" t="s">
        <v>212</v>
      </c>
      <c r="C120" s="116">
        <v>20</v>
      </c>
      <c r="D120" s="117">
        <v>39</v>
      </c>
      <c r="E120" s="143">
        <f t="shared" si="3"/>
        <v>19</v>
      </c>
      <c r="F120" s="143">
        <f>D120/C120*100</f>
        <v>195</v>
      </c>
      <c r="G120" s="122" t="s">
        <v>402</v>
      </c>
    </row>
    <row r="121" spans="1:24" ht="47.25" x14ac:dyDescent="0.25">
      <c r="A121" s="210"/>
      <c r="B121" s="113" t="s">
        <v>213</v>
      </c>
      <c r="C121" s="116">
        <v>23</v>
      </c>
      <c r="D121" s="117">
        <v>30</v>
      </c>
      <c r="E121" s="143">
        <f t="shared" si="3"/>
        <v>7</v>
      </c>
      <c r="F121" s="143">
        <f>D121/C121*100</f>
        <v>130.43478260869566</v>
      </c>
      <c r="G121" s="122" t="s">
        <v>400</v>
      </c>
    </row>
    <row r="122" spans="1:24" x14ac:dyDescent="0.25">
      <c r="A122" s="211" t="s">
        <v>103</v>
      </c>
      <c r="B122" s="1133" t="s">
        <v>102</v>
      </c>
      <c r="C122" s="1134"/>
      <c r="D122" s="1134"/>
      <c r="E122" s="1134"/>
      <c r="F122" s="1134"/>
      <c r="G122" s="1135"/>
    </row>
    <row r="123" spans="1:24" ht="47.25" x14ac:dyDescent="0.25">
      <c r="A123" s="159"/>
      <c r="B123" s="134" t="s">
        <v>214</v>
      </c>
      <c r="C123" s="114">
        <v>15100</v>
      </c>
      <c r="D123" s="114">
        <v>11981</v>
      </c>
      <c r="E123" s="143">
        <f t="shared" si="3"/>
        <v>-3119</v>
      </c>
      <c r="F123" s="143">
        <f>D123/C123*100</f>
        <v>79.344370860927143</v>
      </c>
      <c r="G123" s="122" t="s">
        <v>400</v>
      </c>
    </row>
    <row r="124" spans="1:24" ht="63" x14ac:dyDescent="0.25">
      <c r="A124" s="144"/>
      <c r="B124" s="134" t="s">
        <v>215</v>
      </c>
      <c r="C124" s="114">
        <v>63.3</v>
      </c>
      <c r="D124" s="114">
        <v>51</v>
      </c>
      <c r="E124" s="143">
        <f t="shared" si="3"/>
        <v>-12.299999999999997</v>
      </c>
      <c r="F124" s="143">
        <f>D124/C124*100</f>
        <v>80.568720379146924</v>
      </c>
      <c r="G124" s="122" t="s">
        <v>400</v>
      </c>
    </row>
    <row r="125" spans="1:24" ht="33.75" customHeight="1" x14ac:dyDescent="0.25">
      <c r="A125" s="205" t="s">
        <v>105</v>
      </c>
      <c r="B125" s="1136" t="s">
        <v>104</v>
      </c>
      <c r="C125" s="1137"/>
      <c r="D125" s="1137"/>
      <c r="E125" s="1137"/>
      <c r="F125" s="1137"/>
      <c r="G125" s="1138"/>
    </row>
    <row r="126" spans="1:24" ht="21.75" customHeight="1" x14ac:dyDescent="0.25">
      <c r="A126" s="205" t="s">
        <v>1</v>
      </c>
      <c r="B126" s="1136" t="s">
        <v>106</v>
      </c>
      <c r="C126" s="1137"/>
      <c r="D126" s="1137"/>
      <c r="E126" s="1137"/>
      <c r="F126" s="1137"/>
      <c r="G126" s="1138"/>
    </row>
    <row r="127" spans="1:24" ht="138.75" customHeight="1" x14ac:dyDescent="0.25">
      <c r="A127" s="205"/>
      <c r="B127" s="176" t="s">
        <v>287</v>
      </c>
      <c r="C127" s="163">
        <v>715.14</v>
      </c>
      <c r="D127" s="202">
        <v>972.14</v>
      </c>
      <c r="E127" s="194">
        <f>D127-C127</f>
        <v>257</v>
      </c>
      <c r="F127" s="195">
        <f>D127/C127*100</f>
        <v>135.93701932488744</v>
      </c>
      <c r="G127" s="193" t="s">
        <v>394</v>
      </c>
    </row>
    <row r="128" spans="1:24" ht="31.5" x14ac:dyDescent="0.25">
      <c r="A128" s="205"/>
      <c r="B128" s="151" t="s">
        <v>319</v>
      </c>
      <c r="C128" s="152">
        <v>2400</v>
      </c>
      <c r="D128" s="201">
        <v>890</v>
      </c>
      <c r="E128" s="191">
        <f t="shared" ref="E128:E136" si="4">D128-C128</f>
        <v>-1510</v>
      </c>
      <c r="F128" s="192">
        <f t="shared" ref="F128:F136" si="5">D128/C128*100</f>
        <v>37.083333333333336</v>
      </c>
      <c r="G128" s="122" t="s">
        <v>400</v>
      </c>
    </row>
    <row r="129" spans="1:24" ht="47.25" x14ac:dyDescent="0.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x14ac:dyDescent="0.25">
      <c r="A130" s="205"/>
      <c r="B130" s="151" t="s">
        <v>323</v>
      </c>
      <c r="C130" s="152">
        <v>68</v>
      </c>
      <c r="D130" s="191">
        <v>52.8</v>
      </c>
      <c r="E130" s="191">
        <f t="shared" si="4"/>
        <v>-15.200000000000003</v>
      </c>
      <c r="F130" s="192">
        <f t="shared" si="5"/>
        <v>77.647058823529406</v>
      </c>
      <c r="G130" s="122" t="s">
        <v>400</v>
      </c>
    </row>
    <row r="131" spans="1:24" ht="21" customHeight="1" x14ac:dyDescent="0.25">
      <c r="A131" s="205" t="s">
        <v>327</v>
      </c>
      <c r="B131" s="1166" t="s">
        <v>107</v>
      </c>
      <c r="C131" s="1167"/>
      <c r="D131" s="1167"/>
      <c r="E131" s="1167"/>
      <c r="F131" s="1167"/>
      <c r="G131" s="1168"/>
    </row>
    <row r="132" spans="1:24" ht="78.75" x14ac:dyDescent="0.25">
      <c r="A132" s="205"/>
      <c r="B132" s="151" t="s">
        <v>321</v>
      </c>
      <c r="C132" s="152">
        <v>68</v>
      </c>
      <c r="D132" s="191">
        <v>0</v>
      </c>
      <c r="E132" s="191">
        <f t="shared" si="4"/>
        <v>-68</v>
      </c>
      <c r="F132" s="191">
        <f t="shared" si="5"/>
        <v>0</v>
      </c>
      <c r="G132" s="122" t="s">
        <v>400</v>
      </c>
    </row>
    <row r="133" spans="1:24" ht="78.75" x14ac:dyDescent="0.25">
      <c r="A133" s="205"/>
      <c r="B133" s="151" t="s">
        <v>322</v>
      </c>
      <c r="C133" s="152">
        <v>35</v>
      </c>
      <c r="D133" s="191">
        <v>0</v>
      </c>
      <c r="E133" s="191">
        <f t="shared" si="4"/>
        <v>-35</v>
      </c>
      <c r="F133" s="191">
        <f t="shared" si="5"/>
        <v>0</v>
      </c>
      <c r="G133" s="122" t="s">
        <v>400</v>
      </c>
    </row>
    <row r="134" spans="1:24" ht="18.75" customHeight="1" x14ac:dyDescent="0.25">
      <c r="A134" s="205" t="s">
        <v>328</v>
      </c>
      <c r="B134" s="1166" t="s">
        <v>109</v>
      </c>
      <c r="C134" s="1167"/>
      <c r="D134" s="1167"/>
      <c r="E134" s="1167"/>
      <c r="F134" s="1167"/>
      <c r="G134" s="1168"/>
    </row>
    <row r="135" spans="1:24" ht="63" x14ac:dyDescent="0.25">
      <c r="A135" s="205"/>
      <c r="B135" s="151" t="s">
        <v>324</v>
      </c>
      <c r="C135" s="152">
        <v>704</v>
      </c>
      <c r="D135" s="191">
        <v>0</v>
      </c>
      <c r="E135" s="191">
        <f t="shared" si="4"/>
        <v>-704</v>
      </c>
      <c r="F135" s="191">
        <f t="shared" si="5"/>
        <v>0</v>
      </c>
      <c r="G135" s="122" t="s">
        <v>400</v>
      </c>
    </row>
    <row r="136" spans="1:24" ht="78.75" x14ac:dyDescent="0.25">
      <c r="A136" s="205"/>
      <c r="B136" s="151" t="s">
        <v>325</v>
      </c>
      <c r="C136" s="152">
        <v>20</v>
      </c>
      <c r="D136" s="191">
        <v>0</v>
      </c>
      <c r="E136" s="191">
        <f t="shared" si="4"/>
        <v>-20</v>
      </c>
      <c r="F136" s="191">
        <f t="shared" si="5"/>
        <v>0</v>
      </c>
      <c r="G136" s="122" t="s">
        <v>400</v>
      </c>
    </row>
    <row r="137" spans="1:24" x14ac:dyDescent="0.25">
      <c r="A137" s="212" t="s">
        <v>3</v>
      </c>
      <c r="B137" s="1136" t="s">
        <v>110</v>
      </c>
      <c r="C137" s="1137"/>
      <c r="D137" s="1137"/>
      <c r="E137" s="1137"/>
      <c r="F137" s="1137"/>
      <c r="G137" s="1138"/>
    </row>
    <row r="138" spans="1:24" x14ac:dyDescent="0.25">
      <c r="A138" s="213"/>
      <c r="B138" s="113" t="s">
        <v>196</v>
      </c>
      <c r="C138" s="214">
        <v>9390</v>
      </c>
      <c r="D138" s="215">
        <v>615.88</v>
      </c>
      <c r="E138" s="215">
        <f>D138-C138</f>
        <v>-8774.1200000000008</v>
      </c>
      <c r="F138" s="121">
        <f>D138/C138*100</f>
        <v>6.5588924387646435</v>
      </c>
      <c r="G138" s="122" t="s">
        <v>400</v>
      </c>
    </row>
    <row r="139" spans="1:24" ht="31.5" x14ac:dyDescent="0.25">
      <c r="A139" s="209"/>
      <c r="B139" s="113" t="s">
        <v>216</v>
      </c>
      <c r="C139" s="116">
        <v>600</v>
      </c>
      <c r="D139" s="117">
        <v>324</v>
      </c>
      <c r="E139" s="143">
        <f t="shared" ref="E139:E185" si="6">D139-C139</f>
        <v>-276</v>
      </c>
      <c r="F139" s="143">
        <f>D139/C139*100</f>
        <v>54</v>
      </c>
      <c r="G139" s="122" t="s">
        <v>400</v>
      </c>
    </row>
    <row r="140" spans="1:24" ht="31.5" x14ac:dyDescent="0.25">
      <c r="A140" s="209"/>
      <c r="B140" s="113" t="s">
        <v>217</v>
      </c>
      <c r="C140" s="133">
        <f>C138/C139</f>
        <v>15.65</v>
      </c>
      <c r="D140" s="133">
        <f>D138/D139</f>
        <v>1.9008641975308642</v>
      </c>
      <c r="E140" s="142">
        <f t="shared" si="6"/>
        <v>-13.749135802469135</v>
      </c>
      <c r="F140" s="143">
        <f>D140/C140*100</f>
        <v>12.146097108823414</v>
      </c>
      <c r="G140" s="122" t="s">
        <v>400</v>
      </c>
    </row>
    <row r="141" spans="1:24" ht="83.25" customHeight="1" x14ac:dyDescent="0.25">
      <c r="A141" s="210"/>
      <c r="B141" s="113" t="s">
        <v>218</v>
      </c>
      <c r="C141" s="116">
        <v>70</v>
      </c>
      <c r="D141" s="117">
        <v>87.96</v>
      </c>
      <c r="E141" s="143">
        <f t="shared" si="6"/>
        <v>17.959999999999994</v>
      </c>
      <c r="F141" s="143">
        <f>D141/C141*100</f>
        <v>125.65714285714284</v>
      </c>
      <c r="G141" s="122" t="s">
        <v>400</v>
      </c>
    </row>
    <row r="142" spans="1:24" s="149" customFormat="1" x14ac:dyDescent="0.25">
      <c r="A142" s="208" t="s">
        <v>4</v>
      </c>
      <c r="B142" s="1136" t="s">
        <v>111</v>
      </c>
      <c r="C142" s="1137"/>
      <c r="D142" s="1137"/>
      <c r="E142" s="1137"/>
      <c r="F142" s="1137"/>
      <c r="G142" s="1138"/>
      <c r="H142" s="124"/>
      <c r="I142" s="124"/>
      <c r="J142" s="124"/>
      <c r="K142" s="124"/>
      <c r="L142" s="124"/>
      <c r="M142" s="124"/>
      <c r="N142" s="124"/>
      <c r="O142" s="124"/>
      <c r="P142" s="124"/>
      <c r="Q142" s="124"/>
      <c r="R142" s="124"/>
      <c r="S142" s="124"/>
      <c r="T142" s="124"/>
      <c r="U142" s="124"/>
      <c r="V142" s="124"/>
      <c r="W142" s="124"/>
      <c r="X142" s="124"/>
    </row>
    <row r="143" spans="1:24" ht="63" x14ac:dyDescent="0.25">
      <c r="A143" s="213"/>
      <c r="B143" s="113" t="s">
        <v>219</v>
      </c>
      <c r="C143" s="114">
        <v>1267</v>
      </c>
      <c r="D143" s="143">
        <v>249</v>
      </c>
      <c r="E143" s="143">
        <f t="shared" si="6"/>
        <v>-1018</v>
      </c>
      <c r="F143" s="143">
        <f>D143/C143*100</f>
        <v>19.652722967640095</v>
      </c>
      <c r="G143" s="122" t="s">
        <v>400</v>
      </c>
    </row>
    <row r="144" spans="1:24" ht="63" x14ac:dyDescent="0.25">
      <c r="A144" s="210"/>
      <c r="B144" s="113" t="s">
        <v>220</v>
      </c>
      <c r="C144" s="116">
        <v>40</v>
      </c>
      <c r="D144" s="117">
        <v>27.98</v>
      </c>
      <c r="E144" s="143">
        <f t="shared" si="6"/>
        <v>-12.02</v>
      </c>
      <c r="F144" s="143">
        <f>D144/C144*100</f>
        <v>69.95</v>
      </c>
      <c r="G144" s="122" t="s">
        <v>400</v>
      </c>
    </row>
    <row r="145" spans="1:7" ht="21.75" customHeight="1" x14ac:dyDescent="0.25">
      <c r="A145" s="210" t="s">
        <v>329</v>
      </c>
      <c r="B145" s="1136" t="s">
        <v>112</v>
      </c>
      <c r="C145" s="1137"/>
      <c r="D145" s="1137"/>
      <c r="E145" s="1137"/>
      <c r="F145" s="1137"/>
      <c r="G145" s="1138"/>
    </row>
    <row r="146" spans="1:7" ht="88.5" customHeight="1" x14ac:dyDescent="0.25">
      <c r="A146" s="216"/>
      <c r="B146" s="176" t="s">
        <v>307</v>
      </c>
      <c r="C146" s="152">
        <v>881.31</v>
      </c>
      <c r="D146" s="217">
        <v>45.69</v>
      </c>
      <c r="E146" s="143">
        <f t="shared" si="6"/>
        <v>-835.61999999999989</v>
      </c>
      <c r="F146" s="143">
        <f t="shared" ref="F146:F185" si="7">D146/C146*100</f>
        <v>5.1843278755488988</v>
      </c>
      <c r="G146" s="122" t="s">
        <v>395</v>
      </c>
    </row>
    <row r="147" spans="1:7" ht="47.25" x14ac:dyDescent="0.25">
      <c r="A147" s="216"/>
      <c r="B147" s="151" t="s">
        <v>330</v>
      </c>
      <c r="C147" s="155">
        <v>1200</v>
      </c>
      <c r="D147" s="217">
        <v>307</v>
      </c>
      <c r="E147" s="143">
        <f t="shared" si="6"/>
        <v>-893</v>
      </c>
      <c r="F147" s="143">
        <f t="shared" si="7"/>
        <v>25.583333333333336</v>
      </c>
      <c r="G147" s="122" t="s">
        <v>400</v>
      </c>
    </row>
    <row r="148" spans="1:7" ht="47.25" x14ac:dyDescent="0.25">
      <c r="A148" s="216"/>
      <c r="B148" s="151" t="s">
        <v>331</v>
      </c>
      <c r="C148" s="155">
        <v>0.73</v>
      </c>
      <c r="D148" s="182">
        <f>D146/D147</f>
        <v>0.14882736156351792</v>
      </c>
      <c r="E148" s="143">
        <f t="shared" si="6"/>
        <v>-0.58117263843648204</v>
      </c>
      <c r="F148" s="143">
        <f t="shared" si="7"/>
        <v>20.387309803221633</v>
      </c>
      <c r="G148" s="122" t="s">
        <v>400</v>
      </c>
    </row>
    <row r="149" spans="1:7" ht="63" x14ac:dyDescent="0.25">
      <c r="A149" s="216"/>
      <c r="B149" s="151" t="s">
        <v>332</v>
      </c>
      <c r="C149" s="152">
        <v>50</v>
      </c>
      <c r="D149" s="218">
        <v>34.49</v>
      </c>
      <c r="E149" s="143">
        <f t="shared" si="6"/>
        <v>-15.509999999999998</v>
      </c>
      <c r="F149" s="143">
        <f t="shared" si="7"/>
        <v>68.98</v>
      </c>
      <c r="G149" s="122" t="s">
        <v>400</v>
      </c>
    </row>
    <row r="150" spans="1:7" ht="35.25" customHeight="1" x14ac:dyDescent="0.25">
      <c r="A150" s="210" t="s">
        <v>333</v>
      </c>
      <c r="B150" s="1136" t="s">
        <v>114</v>
      </c>
      <c r="C150" s="1137"/>
      <c r="D150" s="1137"/>
      <c r="E150" s="1137"/>
      <c r="F150" s="1137"/>
      <c r="G150" s="1138"/>
    </row>
    <row r="151" spans="1:7" ht="20.25" customHeight="1" x14ac:dyDescent="0.25">
      <c r="A151" s="207" t="s">
        <v>336</v>
      </c>
      <c r="B151" s="1136" t="s">
        <v>334</v>
      </c>
      <c r="C151" s="1137"/>
      <c r="D151" s="1137"/>
      <c r="E151" s="1137"/>
      <c r="F151" s="1137"/>
      <c r="G151" s="1138"/>
    </row>
    <row r="152" spans="1:7" ht="63" x14ac:dyDescent="0.25">
      <c r="A152" s="207"/>
      <c r="B152" s="176" t="s">
        <v>249</v>
      </c>
      <c r="C152" s="163">
        <v>375.54399999999998</v>
      </c>
      <c r="D152" s="120">
        <v>928.27</v>
      </c>
      <c r="E152" s="121">
        <f t="shared" si="6"/>
        <v>552.726</v>
      </c>
      <c r="F152" s="121">
        <f t="shared" si="7"/>
        <v>247.18009074835439</v>
      </c>
      <c r="G152" s="122" t="s">
        <v>391</v>
      </c>
    </row>
    <row r="153" spans="1:7" ht="47.25" x14ac:dyDescent="0.25">
      <c r="A153" s="207"/>
      <c r="B153" s="176" t="s">
        <v>344</v>
      </c>
      <c r="C153" s="152">
        <v>2400</v>
      </c>
      <c r="D153" s="117">
        <v>890</v>
      </c>
      <c r="E153" s="143">
        <f t="shared" si="6"/>
        <v>-1510</v>
      </c>
      <c r="F153" s="143">
        <f t="shared" si="7"/>
        <v>37.083333333333336</v>
      </c>
      <c r="G153" s="122" t="s">
        <v>400</v>
      </c>
    </row>
    <row r="154" spans="1:7" ht="31.5" x14ac:dyDescent="0.2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x14ac:dyDescent="0.25">
      <c r="A155" s="207"/>
      <c r="B155" s="176" t="s">
        <v>346</v>
      </c>
      <c r="C155" s="152">
        <v>100</v>
      </c>
      <c r="D155" s="117">
        <v>100</v>
      </c>
      <c r="E155" s="143">
        <f t="shared" si="6"/>
        <v>0</v>
      </c>
      <c r="F155" s="143">
        <f t="shared" si="7"/>
        <v>100</v>
      </c>
      <c r="G155" s="122" t="s">
        <v>400</v>
      </c>
    </row>
    <row r="156" spans="1:7" x14ac:dyDescent="0.25">
      <c r="A156" s="207" t="s">
        <v>337</v>
      </c>
      <c r="B156" s="1136" t="s">
        <v>120</v>
      </c>
      <c r="C156" s="1137"/>
      <c r="D156" s="1137"/>
      <c r="E156" s="1137"/>
      <c r="F156" s="1137"/>
      <c r="G156" s="1138"/>
    </row>
    <row r="157" spans="1:7" ht="66.75" customHeight="1" x14ac:dyDescent="0.25">
      <c r="A157" s="207"/>
      <c r="B157" s="176" t="s">
        <v>249</v>
      </c>
      <c r="C157" s="152">
        <v>1096.355</v>
      </c>
      <c r="D157" s="117">
        <v>2726.45</v>
      </c>
      <c r="E157" s="143">
        <f t="shared" si="6"/>
        <v>1630.0949999999998</v>
      </c>
      <c r="F157" s="143">
        <f t="shared" si="7"/>
        <v>248.68313639286544</v>
      </c>
      <c r="G157" s="122" t="s">
        <v>391</v>
      </c>
    </row>
    <row r="158" spans="1:7" ht="47.25" x14ac:dyDescent="0.25">
      <c r="A158" s="207"/>
      <c r="B158" s="176" t="s">
        <v>347</v>
      </c>
      <c r="C158" s="152">
        <v>3520</v>
      </c>
      <c r="D158" s="117">
        <v>890</v>
      </c>
      <c r="E158" s="143">
        <f t="shared" si="6"/>
        <v>-2630</v>
      </c>
      <c r="F158" s="143">
        <f t="shared" si="7"/>
        <v>25.28409090909091</v>
      </c>
      <c r="G158" s="122" t="s">
        <v>400</v>
      </c>
    </row>
    <row r="159" spans="1:7" ht="31.5" x14ac:dyDescent="0.25">
      <c r="A159" s="207"/>
      <c r="B159" s="176" t="s">
        <v>348</v>
      </c>
      <c r="C159" s="152">
        <v>0.31</v>
      </c>
      <c r="D159" s="219">
        <f>D157/D158</f>
        <v>3.0634269662921345</v>
      </c>
      <c r="E159" s="143">
        <f t="shared" si="6"/>
        <v>2.7534269662921345</v>
      </c>
      <c r="F159" s="143">
        <f t="shared" si="7"/>
        <v>988.20224719101122</v>
      </c>
      <c r="G159" s="122" t="s">
        <v>400</v>
      </c>
    </row>
    <row r="160" spans="1:7" ht="47.25" x14ac:dyDescent="0.25">
      <c r="A160" s="207"/>
      <c r="B160" s="176" t="s">
        <v>349</v>
      </c>
      <c r="C160" s="152">
        <v>100</v>
      </c>
      <c r="D160" s="117">
        <v>100</v>
      </c>
      <c r="E160" s="143">
        <f t="shared" si="6"/>
        <v>0</v>
      </c>
      <c r="F160" s="143">
        <f t="shared" si="7"/>
        <v>100</v>
      </c>
      <c r="G160" s="122" t="s">
        <v>400</v>
      </c>
    </row>
    <row r="161" spans="1:7" ht="19.5" customHeight="1" x14ac:dyDescent="0.25">
      <c r="A161" s="207" t="s">
        <v>338</v>
      </c>
      <c r="B161" s="1136" t="s">
        <v>121</v>
      </c>
      <c r="C161" s="1137"/>
      <c r="D161" s="1137"/>
      <c r="E161" s="1137"/>
      <c r="F161" s="1137"/>
      <c r="G161" s="1138"/>
    </row>
    <row r="162" spans="1:7" ht="63" x14ac:dyDescent="0.25">
      <c r="A162" s="207"/>
      <c r="B162" s="176" t="s">
        <v>249</v>
      </c>
      <c r="C162" s="152">
        <v>219.542</v>
      </c>
      <c r="D162" s="117">
        <v>120.42</v>
      </c>
      <c r="E162" s="143">
        <f t="shared" si="6"/>
        <v>-99.122</v>
      </c>
      <c r="F162" s="143">
        <f t="shared" si="7"/>
        <v>54.850552513869786</v>
      </c>
      <c r="G162" s="122" t="s">
        <v>392</v>
      </c>
    </row>
    <row r="163" spans="1:7" ht="47.25" x14ac:dyDescent="0.25">
      <c r="A163" s="207"/>
      <c r="B163" s="176" t="s">
        <v>350</v>
      </c>
      <c r="C163" s="152">
        <v>3520</v>
      </c>
      <c r="D163" s="117">
        <v>890</v>
      </c>
      <c r="E163" s="143">
        <f t="shared" si="6"/>
        <v>-2630</v>
      </c>
      <c r="F163" s="143">
        <f t="shared" si="7"/>
        <v>25.28409090909091</v>
      </c>
      <c r="G163" s="122" t="s">
        <v>400</v>
      </c>
    </row>
    <row r="164" spans="1:7" ht="47.25" x14ac:dyDescent="0.25">
      <c r="A164" s="207"/>
      <c r="B164" s="176" t="s">
        <v>351</v>
      </c>
      <c r="C164" s="155">
        <v>0.06</v>
      </c>
      <c r="D164" s="219">
        <f>D162/D163</f>
        <v>0.13530337078651686</v>
      </c>
      <c r="E164" s="143">
        <f t="shared" si="6"/>
        <v>7.530337078651686E-2</v>
      </c>
      <c r="F164" s="143">
        <f t="shared" si="7"/>
        <v>225.50561797752812</v>
      </c>
      <c r="G164" s="122" t="s">
        <v>400</v>
      </c>
    </row>
    <row r="165" spans="1:7" ht="47.25" x14ac:dyDescent="0.25">
      <c r="A165" s="207"/>
      <c r="B165" s="176" t="s">
        <v>352</v>
      </c>
      <c r="C165" s="152">
        <v>100</v>
      </c>
      <c r="D165" s="117">
        <v>100</v>
      </c>
      <c r="E165" s="143">
        <f t="shared" si="6"/>
        <v>0</v>
      </c>
      <c r="F165" s="143">
        <f t="shared" si="7"/>
        <v>100</v>
      </c>
      <c r="G165" s="122" t="s">
        <v>400</v>
      </c>
    </row>
    <row r="166" spans="1:7" ht="21" customHeight="1" x14ac:dyDescent="0.25">
      <c r="A166" s="207" t="s">
        <v>339</v>
      </c>
      <c r="B166" s="1136" t="s">
        <v>341</v>
      </c>
      <c r="C166" s="1137"/>
      <c r="D166" s="1137"/>
      <c r="E166" s="1137"/>
      <c r="F166" s="1137"/>
      <c r="G166" s="1138"/>
    </row>
    <row r="167" spans="1:7" ht="21" customHeight="1" x14ac:dyDescent="0.25">
      <c r="A167" s="207" t="s">
        <v>340</v>
      </c>
      <c r="B167" s="1136" t="s">
        <v>335</v>
      </c>
      <c r="C167" s="1137"/>
      <c r="D167" s="1137"/>
      <c r="E167" s="1137"/>
      <c r="F167" s="1137"/>
      <c r="G167" s="1138"/>
    </row>
    <row r="168" spans="1:7" ht="204.75" x14ac:dyDescent="0.25">
      <c r="A168" s="207"/>
      <c r="B168" s="176" t="s">
        <v>249</v>
      </c>
      <c r="C168" s="152">
        <v>1527</v>
      </c>
      <c r="D168" s="117">
        <v>405.79</v>
      </c>
      <c r="E168" s="143">
        <f t="shared" si="6"/>
        <v>-1121.21</v>
      </c>
      <c r="F168" s="143">
        <f t="shared" si="7"/>
        <v>26.574328749181404</v>
      </c>
      <c r="G168" s="122" t="s">
        <v>396</v>
      </c>
    </row>
    <row r="169" spans="1:7" ht="31.5" x14ac:dyDescent="0.25">
      <c r="A169" s="207"/>
      <c r="B169" s="176" t="s">
        <v>353</v>
      </c>
      <c r="C169" s="152"/>
      <c r="D169" s="117"/>
      <c r="E169" s="143"/>
      <c r="F169" s="143"/>
      <c r="G169" s="115"/>
    </row>
    <row r="170" spans="1:7" x14ac:dyDescent="0.25">
      <c r="A170" s="207"/>
      <c r="B170" s="220" t="s">
        <v>241</v>
      </c>
      <c r="C170" s="152">
        <v>3000</v>
      </c>
      <c r="D170" s="117">
        <v>358</v>
      </c>
      <c r="E170" s="143">
        <f t="shared" si="6"/>
        <v>-2642</v>
      </c>
      <c r="F170" s="143">
        <f t="shared" si="7"/>
        <v>11.933333333333334</v>
      </c>
      <c r="G170" s="122" t="s">
        <v>400</v>
      </c>
    </row>
    <row r="171" spans="1:7" x14ac:dyDescent="0.25">
      <c r="A171" s="207"/>
      <c r="B171" s="220" t="s">
        <v>242</v>
      </c>
      <c r="C171" s="152">
        <v>1250</v>
      </c>
      <c r="D171" s="117">
        <v>1001</v>
      </c>
      <c r="E171" s="143">
        <f t="shared" si="6"/>
        <v>-249</v>
      </c>
      <c r="F171" s="143">
        <f t="shared" si="7"/>
        <v>80.08</v>
      </c>
      <c r="G171" s="122" t="s">
        <v>400</v>
      </c>
    </row>
    <row r="172" spans="1:7" x14ac:dyDescent="0.25">
      <c r="A172" s="207"/>
      <c r="B172" s="220" t="s">
        <v>243</v>
      </c>
      <c r="C172" s="152">
        <v>100</v>
      </c>
      <c r="D172" s="117">
        <v>160</v>
      </c>
      <c r="E172" s="143">
        <f t="shared" si="6"/>
        <v>60</v>
      </c>
      <c r="F172" s="143">
        <f t="shared" si="7"/>
        <v>160</v>
      </c>
      <c r="G172" s="122" t="s">
        <v>400</v>
      </c>
    </row>
    <row r="173" spans="1:7" x14ac:dyDescent="0.25">
      <c r="A173" s="207"/>
      <c r="B173" s="220" t="s">
        <v>244</v>
      </c>
      <c r="C173" s="152">
        <v>100</v>
      </c>
      <c r="D173" s="117">
        <v>173</v>
      </c>
      <c r="E173" s="143">
        <f t="shared" si="6"/>
        <v>73</v>
      </c>
      <c r="F173" s="143">
        <f t="shared" si="7"/>
        <v>173</v>
      </c>
      <c r="G173" s="122" t="s">
        <v>400</v>
      </c>
    </row>
    <row r="174" spans="1:7" ht="47.25" x14ac:dyDescent="0.25">
      <c r="A174" s="207"/>
      <c r="B174" s="176" t="s">
        <v>354</v>
      </c>
      <c r="C174" s="155">
        <v>1.1000000000000001</v>
      </c>
      <c r="D174" s="117">
        <v>0.24</v>
      </c>
      <c r="E174" s="143">
        <f t="shared" si="6"/>
        <v>-0.8600000000000001</v>
      </c>
      <c r="F174" s="143">
        <f t="shared" si="7"/>
        <v>21.818181818181813</v>
      </c>
      <c r="G174" s="122" t="s">
        <v>400</v>
      </c>
    </row>
    <row r="175" spans="1:7" ht="54" customHeight="1" x14ac:dyDescent="0.25">
      <c r="A175" s="207"/>
      <c r="B175" s="176" t="s">
        <v>355</v>
      </c>
      <c r="C175" s="155">
        <v>100</v>
      </c>
      <c r="D175" s="117">
        <v>100</v>
      </c>
      <c r="E175" s="143">
        <f t="shared" si="6"/>
        <v>0</v>
      </c>
      <c r="F175" s="143">
        <f t="shared" si="7"/>
        <v>100</v>
      </c>
      <c r="G175" s="122" t="s">
        <v>400</v>
      </c>
    </row>
    <row r="176" spans="1:7" x14ac:dyDescent="0.25">
      <c r="A176" s="207" t="s">
        <v>342</v>
      </c>
      <c r="B176" s="1136" t="s">
        <v>128</v>
      </c>
      <c r="C176" s="1137"/>
      <c r="D176" s="1137"/>
      <c r="E176" s="1137"/>
      <c r="F176" s="1137"/>
      <c r="G176" s="1138"/>
    </row>
    <row r="177" spans="1:24" ht="196.5" customHeight="1" x14ac:dyDescent="0.25">
      <c r="A177" s="207"/>
      <c r="B177" s="176" t="s">
        <v>249</v>
      </c>
      <c r="C177" s="152">
        <v>3383.6909999999998</v>
      </c>
      <c r="D177" s="117">
        <v>1879.97</v>
      </c>
      <c r="E177" s="143">
        <f t="shared" si="6"/>
        <v>-1503.7209999999998</v>
      </c>
      <c r="F177" s="143">
        <f t="shared" si="7"/>
        <v>55.559742305074558</v>
      </c>
      <c r="G177" s="122" t="s">
        <v>397</v>
      </c>
    </row>
    <row r="178" spans="1:24" ht="31.5" x14ac:dyDescent="0.25">
      <c r="A178" s="207"/>
      <c r="B178" s="176" t="s">
        <v>356</v>
      </c>
      <c r="C178" s="155">
        <v>510</v>
      </c>
      <c r="D178" s="117">
        <v>243</v>
      </c>
      <c r="E178" s="143">
        <f t="shared" si="6"/>
        <v>-267</v>
      </c>
      <c r="F178" s="143">
        <f t="shared" si="7"/>
        <v>47.647058823529406</v>
      </c>
      <c r="G178" s="122" t="s">
        <v>400</v>
      </c>
    </row>
    <row r="179" spans="1:24" ht="31.5" x14ac:dyDescent="0.25">
      <c r="A179" s="207"/>
      <c r="B179" s="176" t="s">
        <v>357</v>
      </c>
      <c r="C179" s="152">
        <v>6.63</v>
      </c>
      <c r="D179" s="219">
        <f>D177/D178</f>
        <v>7.7365020576131691</v>
      </c>
      <c r="E179" s="143">
        <f t="shared" si="6"/>
        <v>1.1065020576131692</v>
      </c>
      <c r="F179" s="143">
        <f t="shared" si="7"/>
        <v>116.68932213594523</v>
      </c>
      <c r="G179" s="122" t="s">
        <v>400</v>
      </c>
    </row>
    <row r="180" spans="1:24" ht="63" x14ac:dyDescent="0.25">
      <c r="A180" s="207"/>
      <c r="B180" s="176" t="s">
        <v>358</v>
      </c>
      <c r="C180" s="152">
        <v>50</v>
      </c>
      <c r="D180" s="117">
        <v>21</v>
      </c>
      <c r="E180" s="143">
        <f t="shared" si="6"/>
        <v>-29</v>
      </c>
      <c r="F180" s="143">
        <f t="shared" si="7"/>
        <v>42</v>
      </c>
      <c r="G180" s="122" t="s">
        <v>400</v>
      </c>
    </row>
    <row r="181" spans="1:24" ht="36.75" customHeight="1" x14ac:dyDescent="0.25">
      <c r="A181" s="207" t="s">
        <v>343</v>
      </c>
      <c r="B181" s="1136" t="s">
        <v>129</v>
      </c>
      <c r="C181" s="1137"/>
      <c r="D181" s="1137"/>
      <c r="E181" s="1137"/>
      <c r="F181" s="1137"/>
      <c r="G181" s="1138"/>
    </row>
    <row r="182" spans="1:24" x14ac:dyDescent="0.25">
      <c r="A182" s="207"/>
      <c r="B182" s="176" t="s">
        <v>249</v>
      </c>
      <c r="C182" s="152">
        <v>225</v>
      </c>
      <c r="D182" s="117">
        <v>0</v>
      </c>
      <c r="E182" s="143">
        <f t="shared" si="6"/>
        <v>-225</v>
      </c>
      <c r="F182" s="143">
        <f t="shared" si="7"/>
        <v>0</v>
      </c>
      <c r="G182" s="122" t="s">
        <v>400</v>
      </c>
    </row>
    <row r="183" spans="1:24" ht="78.75" x14ac:dyDescent="0.25">
      <c r="A183" s="207"/>
      <c r="B183" s="176" t="s">
        <v>359</v>
      </c>
      <c r="C183" s="152">
        <v>88</v>
      </c>
      <c r="D183" s="117">
        <v>0</v>
      </c>
      <c r="E183" s="143">
        <f t="shared" si="6"/>
        <v>-88</v>
      </c>
      <c r="F183" s="143">
        <f t="shared" si="7"/>
        <v>0</v>
      </c>
      <c r="G183" s="122" t="s">
        <v>400</v>
      </c>
    </row>
    <row r="184" spans="1:24" ht="31.5" x14ac:dyDescent="0.25">
      <c r="A184" s="207"/>
      <c r="B184" s="176" t="s">
        <v>360</v>
      </c>
      <c r="C184" s="152">
        <v>2.56</v>
      </c>
      <c r="D184" s="117">
        <v>0</v>
      </c>
      <c r="E184" s="143">
        <f t="shared" si="6"/>
        <v>-2.56</v>
      </c>
      <c r="F184" s="143">
        <f t="shared" si="7"/>
        <v>0</v>
      </c>
      <c r="G184" s="122" t="s">
        <v>400</v>
      </c>
    </row>
    <row r="185" spans="1:24" ht="78.75" x14ac:dyDescent="0.25">
      <c r="A185" s="207"/>
      <c r="B185" s="176" t="s">
        <v>361</v>
      </c>
      <c r="C185" s="152">
        <v>90</v>
      </c>
      <c r="D185" s="117">
        <v>0</v>
      </c>
      <c r="E185" s="143">
        <f t="shared" si="6"/>
        <v>-90</v>
      </c>
      <c r="F185" s="143">
        <f t="shared" si="7"/>
        <v>0</v>
      </c>
      <c r="G185" s="122" t="s">
        <v>400</v>
      </c>
    </row>
    <row r="186" spans="1:24" x14ac:dyDescent="0.25">
      <c r="A186" s="221" t="s">
        <v>132</v>
      </c>
      <c r="B186" s="1139" t="s">
        <v>131</v>
      </c>
      <c r="C186" s="1140"/>
      <c r="D186" s="1140"/>
      <c r="E186" s="1134"/>
      <c r="F186" s="1134"/>
      <c r="G186" s="1135"/>
    </row>
    <row r="187" spans="1:24" s="149" customFormat="1" x14ac:dyDescent="0.25">
      <c r="A187" s="212" t="s">
        <v>135</v>
      </c>
      <c r="B187" s="1136" t="s">
        <v>133</v>
      </c>
      <c r="C187" s="1137"/>
      <c r="D187" s="1137"/>
      <c r="E187" s="1137"/>
      <c r="F187" s="1137"/>
      <c r="G187" s="1138"/>
      <c r="H187" s="124"/>
      <c r="I187" s="124"/>
      <c r="J187" s="124"/>
      <c r="K187" s="124"/>
      <c r="L187" s="124"/>
      <c r="M187" s="124"/>
      <c r="N187" s="124"/>
      <c r="O187" s="124"/>
      <c r="P187" s="124"/>
      <c r="Q187" s="124"/>
      <c r="R187" s="124"/>
      <c r="S187" s="124"/>
      <c r="T187" s="124"/>
      <c r="U187" s="124"/>
      <c r="V187" s="124"/>
      <c r="W187" s="124"/>
      <c r="X187" s="124"/>
    </row>
    <row r="188" spans="1:24" s="149" customFormat="1" x14ac:dyDescent="0.25">
      <c r="A188" s="212"/>
      <c r="B188" s="1137" t="s">
        <v>134</v>
      </c>
      <c r="C188" s="1137"/>
      <c r="D188" s="1137"/>
      <c r="E188" s="1137"/>
      <c r="F188" s="1137"/>
      <c r="G188" s="1138"/>
      <c r="H188" s="124"/>
      <c r="I188" s="124"/>
      <c r="J188" s="124"/>
      <c r="K188" s="124"/>
      <c r="L188" s="124"/>
      <c r="M188" s="124"/>
      <c r="N188" s="124"/>
      <c r="O188" s="124"/>
      <c r="P188" s="124"/>
      <c r="Q188" s="124"/>
      <c r="R188" s="124"/>
      <c r="S188" s="124"/>
      <c r="T188" s="124"/>
      <c r="U188" s="124"/>
      <c r="V188" s="124"/>
      <c r="W188" s="124"/>
      <c r="X188" s="124"/>
    </row>
    <row r="189" spans="1:24" x14ac:dyDescent="0.25">
      <c r="A189" s="209"/>
      <c r="B189" s="113" t="s">
        <v>196</v>
      </c>
      <c r="C189" s="222">
        <v>93744</v>
      </c>
      <c r="D189" s="223">
        <v>35190.177199999998</v>
      </c>
      <c r="E189" s="222">
        <f>D189-C189</f>
        <v>-58553.822800000002</v>
      </c>
      <c r="F189" s="114">
        <f>D189/C189*100</f>
        <v>37.538591483188256</v>
      </c>
      <c r="G189" s="122" t="s">
        <v>400</v>
      </c>
    </row>
    <row r="190" spans="1:24" ht="31.5" x14ac:dyDescent="0.25">
      <c r="A190" s="209"/>
      <c r="B190" s="113" t="s">
        <v>404</v>
      </c>
      <c r="C190" s="114">
        <v>12704</v>
      </c>
      <c r="D190" s="143">
        <v>7693</v>
      </c>
      <c r="E190" s="222">
        <f>D190-C190</f>
        <v>-5011</v>
      </c>
      <c r="F190" s="114">
        <f>D190/C190*100</f>
        <v>60.555730478589417</v>
      </c>
      <c r="G190" s="122" t="s">
        <v>405</v>
      </c>
    </row>
    <row r="191" spans="1:24" ht="31.5" x14ac:dyDescent="0.25">
      <c r="A191" s="209"/>
      <c r="B191" s="113" t="s">
        <v>221</v>
      </c>
      <c r="C191" s="114">
        <v>5000</v>
      </c>
      <c r="D191" s="143">
        <v>1260</v>
      </c>
      <c r="E191" s="114">
        <f>D191-C191</f>
        <v>-3740</v>
      </c>
      <c r="F191" s="114">
        <f>D191/C191*100</f>
        <v>25.2</v>
      </c>
      <c r="G191" s="122" t="s">
        <v>405</v>
      </c>
    </row>
    <row r="192" spans="1:24" ht="31.5" x14ac:dyDescent="0.25">
      <c r="A192" s="209"/>
      <c r="B192" s="113" t="s">
        <v>222</v>
      </c>
      <c r="C192" s="222">
        <v>18</v>
      </c>
      <c r="D192" s="223">
        <f>D189/D191</f>
        <v>27.92871206349206</v>
      </c>
      <c r="E192" s="222">
        <f>D192-C192</f>
        <v>9.9287120634920605</v>
      </c>
      <c r="F192" s="114">
        <f>D192/C192*100</f>
        <v>155.15951146384478</v>
      </c>
      <c r="G192" s="122" t="s">
        <v>400</v>
      </c>
    </row>
    <row r="193" spans="1:24" ht="78.75" x14ac:dyDescent="0.25">
      <c r="A193" s="209"/>
      <c r="B193" s="113" t="s">
        <v>223</v>
      </c>
      <c r="C193" s="114">
        <v>84.1</v>
      </c>
      <c r="D193" s="143">
        <v>64.2</v>
      </c>
      <c r="E193" s="114">
        <f>D193-C193</f>
        <v>-19.899999999999991</v>
      </c>
      <c r="F193" s="114">
        <f>D193/C193*100</f>
        <v>76.337693222354346</v>
      </c>
      <c r="G193" s="122" t="s">
        <v>405</v>
      </c>
    </row>
    <row r="194" spans="1:24" x14ac:dyDescent="0.25">
      <c r="A194" s="138"/>
      <c r="B194" s="1137" t="s">
        <v>137</v>
      </c>
      <c r="C194" s="1137"/>
      <c r="D194" s="1137"/>
      <c r="E194" s="1137"/>
      <c r="F194" s="1137"/>
      <c r="G194" s="1138"/>
    </row>
    <row r="195" spans="1:24" ht="31.5" x14ac:dyDescent="0.25">
      <c r="A195" s="138"/>
      <c r="B195" s="113" t="s">
        <v>224</v>
      </c>
      <c r="C195" s="118">
        <v>6795</v>
      </c>
      <c r="D195" s="121">
        <v>1924</v>
      </c>
      <c r="E195" s="121">
        <f>D195-C195</f>
        <v>-4871</v>
      </c>
      <c r="F195" s="118">
        <f>D195/C195*100</f>
        <v>28.314937454010302</v>
      </c>
      <c r="G195" s="122" t="s">
        <v>400</v>
      </c>
    </row>
    <row r="196" spans="1:24" ht="47.25" x14ac:dyDescent="0.25">
      <c r="A196" s="144"/>
      <c r="B196" s="113" t="s">
        <v>225</v>
      </c>
      <c r="C196" s="116">
        <v>45</v>
      </c>
      <c r="D196" s="117">
        <v>25</v>
      </c>
      <c r="E196" s="117">
        <f>D196-C196</f>
        <v>-20</v>
      </c>
      <c r="F196" s="114">
        <f>D196/C196*100</f>
        <v>55.555555555555557</v>
      </c>
      <c r="G196" s="122" t="s">
        <v>400</v>
      </c>
    </row>
    <row r="197" spans="1:24" ht="39.75" customHeight="1" x14ac:dyDescent="0.25">
      <c r="A197" s="169" t="s">
        <v>362</v>
      </c>
      <c r="B197" s="1136" t="s">
        <v>363</v>
      </c>
      <c r="C197" s="1137"/>
      <c r="D197" s="1137"/>
      <c r="E197" s="1137"/>
      <c r="F197" s="1137"/>
      <c r="G197" s="1138"/>
    </row>
    <row r="198" spans="1:24" x14ac:dyDescent="0.25">
      <c r="A198" s="169"/>
      <c r="B198" s="151" t="s">
        <v>364</v>
      </c>
      <c r="C198" s="152">
        <v>350</v>
      </c>
      <c r="D198" s="117">
        <v>0</v>
      </c>
      <c r="E198" s="117">
        <f t="shared" ref="E198:E221" si="8">D198-C198</f>
        <v>-350</v>
      </c>
      <c r="F198" s="114">
        <f t="shared" ref="F198:F221" si="9">D198/C198*100</f>
        <v>0</v>
      </c>
      <c r="G198" s="122" t="s">
        <v>400</v>
      </c>
    </row>
    <row r="199" spans="1:24" ht="47.25" x14ac:dyDescent="0.25">
      <c r="A199" s="169"/>
      <c r="B199" s="151" t="s">
        <v>365</v>
      </c>
      <c r="C199" s="224">
        <v>5</v>
      </c>
      <c r="D199" s="117">
        <v>0</v>
      </c>
      <c r="E199" s="117">
        <f t="shared" si="8"/>
        <v>-5</v>
      </c>
      <c r="F199" s="114">
        <f t="shared" si="9"/>
        <v>0</v>
      </c>
      <c r="G199" s="122" t="s">
        <v>400</v>
      </c>
    </row>
    <row r="200" spans="1:24" ht="47.25" x14ac:dyDescent="0.25">
      <c r="A200" s="169"/>
      <c r="B200" s="151" t="s">
        <v>366</v>
      </c>
      <c r="C200" s="152">
        <v>0.06</v>
      </c>
      <c r="D200" s="117">
        <v>0</v>
      </c>
      <c r="E200" s="117">
        <f t="shared" si="8"/>
        <v>-0.06</v>
      </c>
      <c r="F200" s="114">
        <f t="shared" si="9"/>
        <v>0</v>
      </c>
      <c r="G200" s="122" t="s">
        <v>400</v>
      </c>
    </row>
    <row r="201" spans="1:24" s="149" customFormat="1" ht="21" customHeight="1" x14ac:dyDescent="0.25">
      <c r="A201" s="225" t="s">
        <v>367</v>
      </c>
      <c r="B201" s="1144" t="s">
        <v>142</v>
      </c>
      <c r="C201" s="1145"/>
      <c r="D201" s="1145"/>
      <c r="E201" s="1145"/>
      <c r="F201" s="1145"/>
      <c r="G201" s="1146"/>
      <c r="H201" s="124"/>
      <c r="I201" s="124"/>
      <c r="J201" s="124"/>
      <c r="K201" s="124"/>
      <c r="L201" s="124"/>
      <c r="M201" s="124"/>
      <c r="N201" s="124"/>
      <c r="O201" s="124"/>
      <c r="P201" s="124"/>
      <c r="Q201" s="124"/>
      <c r="R201" s="124"/>
      <c r="S201" s="124"/>
      <c r="T201" s="124"/>
      <c r="U201" s="124"/>
      <c r="V201" s="124"/>
      <c r="W201" s="124"/>
      <c r="X201" s="124"/>
    </row>
    <row r="202" spans="1:24" s="198" customFormat="1" x14ac:dyDescent="0.25">
      <c r="A202" s="226" t="s">
        <v>376</v>
      </c>
      <c r="B202" s="1136" t="s">
        <v>144</v>
      </c>
      <c r="C202" s="1137"/>
      <c r="D202" s="1137"/>
      <c r="E202" s="1137"/>
      <c r="F202" s="1137"/>
      <c r="G202" s="1138"/>
      <c r="H202" s="124"/>
      <c r="I202" s="124"/>
      <c r="J202" s="124"/>
      <c r="K202" s="124"/>
      <c r="L202" s="124"/>
      <c r="M202" s="124"/>
      <c r="N202" s="124"/>
      <c r="O202" s="124"/>
      <c r="P202" s="124"/>
      <c r="Q202" s="124"/>
      <c r="R202" s="124"/>
      <c r="S202" s="124"/>
      <c r="T202" s="124"/>
      <c r="U202" s="124"/>
      <c r="V202" s="124"/>
      <c r="W202" s="124"/>
      <c r="X202" s="124"/>
    </row>
    <row r="203" spans="1:24" s="115" customFormat="1" ht="78.75" x14ac:dyDescent="0.2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x14ac:dyDescent="0.25">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x14ac:dyDescent="0.25">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x14ac:dyDescent="0.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x14ac:dyDescent="0.2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x14ac:dyDescent="0.25">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x14ac:dyDescent="0.25">
      <c r="A209" s="159" t="s">
        <v>377</v>
      </c>
      <c r="B209" s="1147" t="s">
        <v>145</v>
      </c>
      <c r="C209" s="1148"/>
      <c r="D209" s="1148"/>
      <c r="E209" s="1148"/>
      <c r="F209" s="1148"/>
      <c r="G209" s="1149"/>
      <c r="H209" s="124"/>
      <c r="I209" s="124"/>
      <c r="J209" s="124"/>
      <c r="K209" s="124"/>
      <c r="L209" s="124"/>
      <c r="M209" s="124"/>
      <c r="N209" s="124"/>
      <c r="O209" s="124"/>
      <c r="P209" s="124"/>
      <c r="Q209" s="124"/>
      <c r="R209" s="124"/>
      <c r="S209" s="124"/>
      <c r="T209" s="124"/>
      <c r="U209" s="124"/>
      <c r="V209" s="124"/>
      <c r="W209" s="124"/>
      <c r="X209" s="124"/>
    </row>
    <row r="210" spans="1:24" s="115" customFormat="1" ht="78.75" x14ac:dyDescent="0.2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x14ac:dyDescent="0.25">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x14ac:dyDescent="0.25">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x14ac:dyDescent="0.25">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x14ac:dyDescent="0.2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x14ac:dyDescent="0.25">
      <c r="A215" s="169" t="s">
        <v>378</v>
      </c>
      <c r="B215" s="1166" t="s">
        <v>146</v>
      </c>
      <c r="C215" s="1167"/>
      <c r="D215" s="1167"/>
      <c r="E215" s="1167"/>
      <c r="F215" s="1167"/>
      <c r="G215" s="1168"/>
      <c r="H215" s="124"/>
      <c r="I215" s="124"/>
      <c r="J215" s="124"/>
      <c r="K215" s="124"/>
      <c r="L215" s="124"/>
      <c r="M215" s="124"/>
      <c r="N215" s="124"/>
      <c r="O215" s="124"/>
      <c r="P215" s="124"/>
      <c r="Q215" s="124"/>
      <c r="R215" s="124"/>
      <c r="S215" s="124"/>
      <c r="T215" s="124"/>
      <c r="U215" s="124"/>
      <c r="V215" s="124"/>
      <c r="W215" s="124"/>
      <c r="X215" s="124"/>
    </row>
    <row r="216" spans="1:24" s="115" customFormat="1" ht="78.75" x14ac:dyDescent="0.2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x14ac:dyDescent="0.25">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x14ac:dyDescent="0.25">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x14ac:dyDescent="0.25">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x14ac:dyDescent="0.2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x14ac:dyDescent="0.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x14ac:dyDescent="0.25">
      <c r="A222" s="208" t="s">
        <v>148</v>
      </c>
      <c r="B222" s="1141" t="s">
        <v>147</v>
      </c>
      <c r="C222" s="1142"/>
      <c r="D222" s="1142"/>
      <c r="E222" s="1142"/>
      <c r="F222" s="1142"/>
      <c r="G222" s="1143"/>
      <c r="H222" s="124"/>
      <c r="I222" s="124"/>
      <c r="J222" s="124"/>
      <c r="K222" s="124"/>
      <c r="L222" s="124"/>
      <c r="M222" s="124"/>
      <c r="N222" s="124"/>
      <c r="O222" s="124"/>
      <c r="P222" s="124"/>
      <c r="Q222" s="124"/>
      <c r="R222" s="124"/>
      <c r="S222" s="124"/>
      <c r="T222" s="124"/>
      <c r="U222" s="124"/>
      <c r="V222" s="124"/>
      <c r="W222" s="124"/>
      <c r="X222" s="124"/>
    </row>
    <row r="223" spans="1:24" ht="63" x14ac:dyDescent="0.25">
      <c r="A223" s="213"/>
      <c r="B223" s="113" t="s">
        <v>226</v>
      </c>
      <c r="C223" s="116">
        <v>35</v>
      </c>
      <c r="D223" s="117">
        <v>39</v>
      </c>
      <c r="E223" s="116">
        <f>D223-C223</f>
        <v>4</v>
      </c>
      <c r="F223" s="114">
        <f>D223/C223*100</f>
        <v>111.42857142857143</v>
      </c>
      <c r="G223" s="122" t="s">
        <v>400</v>
      </c>
    </row>
    <row r="224" spans="1:24" ht="78.75" x14ac:dyDescent="0.25">
      <c r="A224" s="210"/>
      <c r="B224" s="113" t="s">
        <v>227</v>
      </c>
      <c r="C224" s="116">
        <v>90</v>
      </c>
      <c r="D224" s="117">
        <v>95</v>
      </c>
      <c r="E224" s="116">
        <f>D224-C224</f>
        <v>5</v>
      </c>
      <c r="F224" s="114">
        <f>D224/C224*100</f>
        <v>105.55555555555556</v>
      </c>
      <c r="G224" s="122" t="s">
        <v>400</v>
      </c>
    </row>
    <row r="225" spans="1:24" x14ac:dyDescent="0.25">
      <c r="A225" s="208" t="s">
        <v>150</v>
      </c>
      <c r="B225" s="1136" t="s">
        <v>149</v>
      </c>
      <c r="C225" s="1137"/>
      <c r="D225" s="1137"/>
      <c r="E225" s="1137"/>
      <c r="F225" s="1137"/>
      <c r="G225" s="1138"/>
    </row>
    <row r="226" spans="1:24" ht="47.25" x14ac:dyDescent="0.25">
      <c r="A226" s="213"/>
      <c r="B226" s="113" t="s">
        <v>246</v>
      </c>
      <c r="C226" s="116">
        <v>88</v>
      </c>
      <c r="D226" s="117">
        <v>6</v>
      </c>
      <c r="E226" s="116">
        <f>D226-C226</f>
        <v>-82</v>
      </c>
      <c r="F226" s="114">
        <f>D226/C226*100</f>
        <v>6.8181818181818175</v>
      </c>
      <c r="G226" s="122" t="s">
        <v>400</v>
      </c>
    </row>
    <row r="227" spans="1:24" ht="34.5" customHeight="1" x14ac:dyDescent="0.25">
      <c r="A227" s="210"/>
      <c r="B227" s="113" t="s">
        <v>228</v>
      </c>
      <c r="C227" s="116">
        <v>100</v>
      </c>
      <c r="D227" s="117">
        <v>33</v>
      </c>
      <c r="E227" s="116">
        <f>D227-C227</f>
        <v>-67</v>
      </c>
      <c r="F227" s="114">
        <f>D227/C227*100</f>
        <v>33</v>
      </c>
      <c r="G227" s="122" t="s">
        <v>400</v>
      </c>
    </row>
    <row r="228" spans="1:24" x14ac:dyDescent="0.25">
      <c r="A228" s="209" t="s">
        <v>152</v>
      </c>
      <c r="B228" s="1136" t="s">
        <v>151</v>
      </c>
      <c r="C228" s="1137"/>
      <c r="D228" s="1137"/>
      <c r="E228" s="1137"/>
      <c r="F228" s="1137"/>
      <c r="G228" s="1138"/>
    </row>
    <row r="229" spans="1:24" x14ac:dyDescent="0.25">
      <c r="A229" s="213"/>
      <c r="B229" s="113" t="s">
        <v>196</v>
      </c>
      <c r="C229" s="214">
        <v>4341</v>
      </c>
      <c r="D229" s="215">
        <v>3271.79</v>
      </c>
      <c r="E229" s="231">
        <f>D229-C229</f>
        <v>-1069.21</v>
      </c>
      <c r="F229" s="118">
        <f>D229/C229*100</f>
        <v>75.369500115180827</v>
      </c>
      <c r="G229" s="122" t="s">
        <v>400</v>
      </c>
    </row>
    <row r="230" spans="1:24" ht="31.5" x14ac:dyDescent="0.25">
      <c r="A230" s="209"/>
      <c r="B230" s="113" t="s">
        <v>229</v>
      </c>
      <c r="C230" s="118">
        <v>6040</v>
      </c>
      <c r="D230" s="121">
        <v>6781</v>
      </c>
      <c r="E230" s="118">
        <f>D230-C230</f>
        <v>741</v>
      </c>
      <c r="F230" s="118">
        <f>D230/C230*100</f>
        <v>112.26821192052981</v>
      </c>
      <c r="G230" s="122" t="s">
        <v>400</v>
      </c>
    </row>
    <row r="231" spans="1:24" ht="47.25" x14ac:dyDescent="0.25">
      <c r="A231" s="209"/>
      <c r="B231" s="113" t="s">
        <v>230</v>
      </c>
      <c r="C231" s="231">
        <v>0.72</v>
      </c>
      <c r="D231" s="215">
        <f>D229/D230</f>
        <v>0.48249373248783367</v>
      </c>
      <c r="E231" s="231">
        <f>D231-C231</f>
        <v>-0.2375062675121663</v>
      </c>
      <c r="F231" s="118">
        <f>D231/C231*100</f>
        <v>67.013018401088004</v>
      </c>
      <c r="G231" s="122" t="s">
        <v>400</v>
      </c>
    </row>
    <row r="232" spans="1:24" ht="63" x14ac:dyDescent="0.25">
      <c r="A232" s="210"/>
      <c r="B232" s="113" t="s">
        <v>231</v>
      </c>
      <c r="C232" s="232">
        <v>40</v>
      </c>
      <c r="D232" s="120">
        <v>56.6</v>
      </c>
      <c r="E232" s="232">
        <f>D232-C232</f>
        <v>16.600000000000001</v>
      </c>
      <c r="F232" s="118">
        <f>D232/C232*100</f>
        <v>141.5</v>
      </c>
      <c r="G232" s="122" t="s">
        <v>400</v>
      </c>
    </row>
    <row r="233" spans="1:24" s="198" customFormat="1" ht="21.75" customHeight="1" x14ac:dyDescent="0.25">
      <c r="A233" s="233" t="s">
        <v>379</v>
      </c>
      <c r="B233" s="1136" t="s">
        <v>154</v>
      </c>
      <c r="C233" s="1137"/>
      <c r="D233" s="1137"/>
      <c r="E233" s="1137"/>
      <c r="F233" s="1137"/>
      <c r="G233" s="1138"/>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x14ac:dyDescent="0.25">
      <c r="A234" s="235" t="s">
        <v>380</v>
      </c>
      <c r="B234" s="1136" t="s">
        <v>156</v>
      </c>
      <c r="C234" s="1137"/>
      <c r="D234" s="1137"/>
      <c r="E234" s="1137"/>
      <c r="F234" s="1137"/>
      <c r="G234" s="1138"/>
      <c r="H234" s="234"/>
      <c r="I234" s="124"/>
      <c r="J234" s="124"/>
      <c r="K234" s="124"/>
      <c r="L234" s="124"/>
      <c r="M234" s="124"/>
      <c r="N234" s="234"/>
      <c r="O234" s="234"/>
      <c r="P234" s="234"/>
      <c r="Q234" s="234"/>
      <c r="R234" s="234"/>
      <c r="S234" s="234"/>
      <c r="T234" s="234"/>
      <c r="U234" s="234"/>
      <c r="V234" s="234"/>
      <c r="W234" s="234"/>
      <c r="X234" s="234"/>
    </row>
    <row r="235" spans="1:24" ht="78.75" x14ac:dyDescent="0.25">
      <c r="A235" s="207"/>
      <c r="B235" s="176" t="s">
        <v>266</v>
      </c>
      <c r="C235" s="152">
        <v>21422.09</v>
      </c>
      <c r="D235" s="117">
        <v>5077.74</v>
      </c>
      <c r="E235" s="116">
        <f>D235-C235</f>
        <v>-16344.35</v>
      </c>
      <c r="F235" s="114">
        <f>D235/C235*100</f>
        <v>23.703289454950475</v>
      </c>
      <c r="G235" s="122" t="s">
        <v>399</v>
      </c>
    </row>
    <row r="236" spans="1:24" ht="47.25" x14ac:dyDescent="0.25">
      <c r="A236" s="207"/>
      <c r="B236" s="151" t="s">
        <v>381</v>
      </c>
      <c r="C236" s="152">
        <v>10084</v>
      </c>
      <c r="D236" s="117">
        <v>6131</v>
      </c>
      <c r="E236" s="116">
        <f>D236-C236</f>
        <v>-3953</v>
      </c>
      <c r="F236" s="114">
        <f>D236/C236*100</f>
        <v>60.79928599761999</v>
      </c>
      <c r="G236" s="122" t="s">
        <v>400</v>
      </c>
    </row>
    <row r="237" spans="1:24" ht="47.25" x14ac:dyDescent="0.25">
      <c r="A237" s="207"/>
      <c r="B237" s="151" t="s">
        <v>382</v>
      </c>
      <c r="C237" s="174">
        <f>C235/C236</f>
        <v>2.1243643395477987</v>
      </c>
      <c r="D237" s="174">
        <f>D235/D236</f>
        <v>0.82820747023324082</v>
      </c>
      <c r="E237" s="145">
        <f>D237-C237</f>
        <v>-1.296156869314558</v>
      </c>
      <c r="F237" s="114">
        <f>D237/C237*100</f>
        <v>38.986131277723132</v>
      </c>
      <c r="G237" s="122" t="s">
        <v>400</v>
      </c>
    </row>
    <row r="238" spans="1:24" ht="63" x14ac:dyDescent="0.25">
      <c r="A238" s="207"/>
      <c r="B238" s="151" t="s">
        <v>383</v>
      </c>
      <c r="C238" s="152">
        <v>100</v>
      </c>
      <c r="D238" s="117"/>
      <c r="E238" s="116">
        <f>D238-C238</f>
        <v>-100</v>
      </c>
      <c r="F238" s="114">
        <f>D238/C238*100</f>
        <v>0</v>
      </c>
      <c r="G238" s="122" t="s">
        <v>400</v>
      </c>
    </row>
    <row r="239" spans="1:24" x14ac:dyDescent="0.25">
      <c r="A239" s="208" t="s">
        <v>159</v>
      </c>
      <c r="B239" s="1141" t="s">
        <v>158</v>
      </c>
      <c r="C239" s="1142"/>
      <c r="D239" s="1142"/>
      <c r="E239" s="1142"/>
      <c r="F239" s="1142"/>
      <c r="G239" s="1143"/>
    </row>
    <row r="240" spans="1:24" ht="78.75" x14ac:dyDescent="0.25">
      <c r="A240" s="213"/>
      <c r="B240" s="113" t="s">
        <v>232</v>
      </c>
      <c r="C240" s="118">
        <v>1296</v>
      </c>
      <c r="D240" s="121">
        <v>200</v>
      </c>
      <c r="E240" s="232">
        <f>D240-C240</f>
        <v>-1096</v>
      </c>
      <c r="F240" s="118">
        <f>D240/C240*100</f>
        <v>15.432098765432098</v>
      </c>
      <c r="G240" s="122" t="s">
        <v>400</v>
      </c>
    </row>
    <row r="241" spans="1:7" ht="47.25" x14ac:dyDescent="0.25">
      <c r="A241" s="210"/>
      <c r="B241" s="113" t="s">
        <v>233</v>
      </c>
      <c r="C241" s="232">
        <v>90</v>
      </c>
      <c r="D241" s="120">
        <v>85</v>
      </c>
      <c r="E241" s="232">
        <f>D241-C241</f>
        <v>-5</v>
      </c>
      <c r="F241" s="118">
        <f>D241/C241*100</f>
        <v>94.444444444444443</v>
      </c>
      <c r="G241" s="122" t="s">
        <v>400</v>
      </c>
    </row>
    <row r="242" spans="1:7" ht="36.75" customHeight="1" x14ac:dyDescent="0.25">
      <c r="A242" s="209" t="s">
        <v>384</v>
      </c>
      <c r="B242" s="1136" t="s">
        <v>160</v>
      </c>
      <c r="C242" s="1137"/>
      <c r="D242" s="1137"/>
      <c r="E242" s="1137"/>
      <c r="F242" s="1137"/>
      <c r="G242" s="1138"/>
    </row>
    <row r="243" spans="1:7" x14ac:dyDescent="0.25">
      <c r="A243" s="207"/>
      <c r="B243" s="151" t="s">
        <v>249</v>
      </c>
      <c r="C243" s="163">
        <v>288</v>
      </c>
      <c r="D243" s="120">
        <v>0</v>
      </c>
      <c r="E243" s="232">
        <f>D243-C243</f>
        <v>-288</v>
      </c>
      <c r="F243" s="118">
        <f>D243/C243*100</f>
        <v>0</v>
      </c>
      <c r="G243" s="122" t="s">
        <v>400</v>
      </c>
    </row>
    <row r="244" spans="1:7" ht="47.25" x14ac:dyDescent="0.25">
      <c r="A244" s="207"/>
      <c r="B244" s="151" t="s">
        <v>385</v>
      </c>
      <c r="C244" s="163">
        <v>5</v>
      </c>
      <c r="D244" s="120">
        <v>0</v>
      </c>
      <c r="E244" s="232">
        <f>D244-C244</f>
        <v>-5</v>
      </c>
      <c r="F244" s="118">
        <f>D244/C244*100</f>
        <v>0</v>
      </c>
      <c r="G244" s="122" t="s">
        <v>400</v>
      </c>
    </row>
    <row r="245" spans="1:7" ht="47.25" x14ac:dyDescent="0.25">
      <c r="A245" s="207"/>
      <c r="B245" s="151" t="s">
        <v>386</v>
      </c>
      <c r="C245" s="163">
        <v>57.6</v>
      </c>
      <c r="D245" s="120">
        <v>0</v>
      </c>
      <c r="E245" s="232">
        <f>D245-C245</f>
        <v>-57.6</v>
      </c>
      <c r="F245" s="118">
        <f>D245/C245*100</f>
        <v>0</v>
      </c>
      <c r="G245" s="122" t="s">
        <v>400</v>
      </c>
    </row>
    <row r="246" spans="1:7" ht="47.25" x14ac:dyDescent="0.25">
      <c r="A246" s="207"/>
      <c r="B246" s="151" t="s">
        <v>387</v>
      </c>
      <c r="C246" s="163">
        <v>13</v>
      </c>
      <c r="D246" s="120">
        <v>0</v>
      </c>
      <c r="E246" s="232">
        <f>D246-C246</f>
        <v>-13</v>
      </c>
      <c r="F246" s="118">
        <f>D246/C246*100</f>
        <v>0</v>
      </c>
      <c r="G246" s="122" t="s">
        <v>400</v>
      </c>
    </row>
    <row r="247" spans="1:7" x14ac:dyDescent="0.25">
      <c r="A247" s="211" t="s">
        <v>163</v>
      </c>
      <c r="B247" s="1133" t="s">
        <v>162</v>
      </c>
      <c r="C247" s="1134"/>
      <c r="D247" s="1134"/>
      <c r="E247" s="1134"/>
      <c r="F247" s="1134"/>
      <c r="G247" s="1135"/>
    </row>
    <row r="248" spans="1:7" ht="31.5" x14ac:dyDescent="0.25">
      <c r="A248" s="213"/>
      <c r="B248" s="113" t="s">
        <v>234</v>
      </c>
      <c r="C248" s="116">
        <v>41</v>
      </c>
      <c r="D248" s="117">
        <v>6</v>
      </c>
      <c r="E248" s="116">
        <f>D248-C248</f>
        <v>-35</v>
      </c>
      <c r="F248" s="114">
        <f>D248/C248*100</f>
        <v>14.634146341463413</v>
      </c>
      <c r="G248" s="122" t="s">
        <v>400</v>
      </c>
    </row>
    <row r="249" spans="1:7" ht="47.25" x14ac:dyDescent="0.25">
      <c r="A249" s="209"/>
      <c r="B249" s="113" t="s">
        <v>235</v>
      </c>
      <c r="C249" s="116">
        <v>100</v>
      </c>
      <c r="D249" s="236">
        <f>5*100/D248</f>
        <v>83.333333333333329</v>
      </c>
      <c r="E249" s="136">
        <f>D249-C249</f>
        <v>-16.666666666666671</v>
      </c>
      <c r="F249" s="114">
        <f>D249/C249*100</f>
        <v>83.333333333333329</v>
      </c>
      <c r="G249" s="122" t="s">
        <v>400</v>
      </c>
    </row>
    <row r="250" spans="1:7" ht="47.25" x14ac:dyDescent="0.25">
      <c r="A250" s="210"/>
      <c r="B250" s="113" t="s">
        <v>236</v>
      </c>
      <c r="C250" s="116">
        <v>100</v>
      </c>
      <c r="D250" s="117">
        <v>100</v>
      </c>
      <c r="E250" s="116">
        <f>D250-C250</f>
        <v>0</v>
      </c>
      <c r="F250" s="114">
        <f>D250/C250*100</f>
        <v>100</v>
      </c>
      <c r="G250" s="122" t="s">
        <v>400</v>
      </c>
    </row>
    <row r="251" spans="1:7" x14ac:dyDescent="0.25">
      <c r="A251" s="125"/>
    </row>
    <row r="252" spans="1:7" x14ac:dyDescent="0.25">
      <c r="A252" s="125"/>
    </row>
    <row r="253" spans="1:7" x14ac:dyDescent="0.25">
      <c r="A253" s="125"/>
      <c r="B253" s="237" t="s">
        <v>406</v>
      </c>
      <c r="C253" s="238" t="s">
        <v>407</v>
      </c>
    </row>
    <row r="254" spans="1:7" ht="43.5" customHeight="1" x14ac:dyDescent="0.25">
      <c r="A254" s="125"/>
    </row>
    <row r="255" spans="1:7" ht="16.5" customHeight="1" x14ac:dyDescent="0.25">
      <c r="A255" s="125"/>
      <c r="B255" s="237" t="s">
        <v>408</v>
      </c>
    </row>
    <row r="256" spans="1:7" x14ac:dyDescent="0.25">
      <c r="A256" s="125"/>
      <c r="B256" s="237" t="s">
        <v>409</v>
      </c>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row r="610" spans="1:1" x14ac:dyDescent="0.25">
      <c r="A610" s="125"/>
    </row>
    <row r="611" spans="1:1" x14ac:dyDescent="0.25">
      <c r="A611" s="125"/>
    </row>
    <row r="612" spans="1:1" x14ac:dyDescent="0.25">
      <c r="A612" s="125"/>
    </row>
    <row r="613" spans="1:1" x14ac:dyDescent="0.25">
      <c r="A613" s="125"/>
    </row>
    <row r="614" spans="1:1" x14ac:dyDescent="0.25">
      <c r="A614" s="125"/>
    </row>
    <row r="615" spans="1:1" x14ac:dyDescent="0.25">
      <c r="A615" s="125"/>
    </row>
    <row r="616" spans="1:1" x14ac:dyDescent="0.25">
      <c r="A616" s="125"/>
    </row>
    <row r="617" spans="1:1" x14ac:dyDescent="0.25">
      <c r="A617" s="125"/>
    </row>
    <row r="618" spans="1:1" x14ac:dyDescent="0.25">
      <c r="A618" s="125"/>
    </row>
    <row r="619" spans="1:1" x14ac:dyDescent="0.25">
      <c r="A619" s="125"/>
    </row>
    <row r="620" spans="1:1" x14ac:dyDescent="0.25">
      <c r="A620" s="125"/>
    </row>
    <row r="621" spans="1:1" x14ac:dyDescent="0.25">
      <c r="A621" s="125"/>
    </row>
    <row r="622" spans="1:1" x14ac:dyDescent="0.25">
      <c r="A622" s="125"/>
    </row>
    <row r="623" spans="1:1" x14ac:dyDescent="0.25">
      <c r="A623" s="125"/>
    </row>
    <row r="624" spans="1:1" x14ac:dyDescent="0.25">
      <c r="A624" s="125"/>
    </row>
    <row r="625" spans="1:1" x14ac:dyDescent="0.25">
      <c r="A625" s="125"/>
    </row>
    <row r="626" spans="1:1" x14ac:dyDescent="0.25">
      <c r="A626" s="125"/>
    </row>
    <row r="627" spans="1:1" x14ac:dyDescent="0.25">
      <c r="A627" s="125"/>
    </row>
    <row r="628" spans="1:1" x14ac:dyDescent="0.25">
      <c r="A628" s="125"/>
    </row>
    <row r="629" spans="1:1" x14ac:dyDescent="0.25">
      <c r="A629" s="125"/>
    </row>
    <row r="630" spans="1:1" x14ac:dyDescent="0.25">
      <c r="A630" s="125"/>
    </row>
    <row r="631" spans="1:1" x14ac:dyDescent="0.25">
      <c r="A631" s="125"/>
    </row>
    <row r="632" spans="1:1" x14ac:dyDescent="0.25">
      <c r="A632" s="125"/>
    </row>
  </sheetData>
  <mergeCells count="69">
    <mergeCell ref="B215:G215"/>
    <mergeCell ref="B233:G233"/>
    <mergeCell ref="B225:G225"/>
    <mergeCell ref="B228:G228"/>
    <mergeCell ref="B239:G239"/>
    <mergeCell ref="B137:G137"/>
    <mergeCell ref="B145:G145"/>
    <mergeCell ref="B161:G161"/>
    <mergeCell ref="B112:G112"/>
    <mergeCell ref="B126:G126"/>
    <mergeCell ref="B131:G131"/>
    <mergeCell ref="B134:G134"/>
    <mergeCell ref="B150:G150"/>
    <mergeCell ref="B151:G151"/>
    <mergeCell ref="B156:G156"/>
    <mergeCell ref="B115:G115"/>
    <mergeCell ref="B7:G7"/>
    <mergeCell ref="B176:G176"/>
    <mergeCell ref="B67:G67"/>
    <mergeCell ref="B73:G73"/>
    <mergeCell ref="B78:G78"/>
    <mergeCell ref="B81:G81"/>
    <mergeCell ref="B116:G116"/>
    <mergeCell ref="B119:G119"/>
    <mergeCell ref="B122:G122"/>
    <mergeCell ref="B125:G125"/>
    <mergeCell ref="B36:G36"/>
    <mergeCell ref="B41:G41"/>
    <mergeCell ref="B46:G46"/>
    <mergeCell ref="B53:G53"/>
    <mergeCell ref="B57:G57"/>
    <mergeCell ref="B62:G62"/>
    <mergeCell ref="A1:G1"/>
    <mergeCell ref="A2:G2"/>
    <mergeCell ref="A4:A5"/>
    <mergeCell ref="B4:B5"/>
    <mergeCell ref="C4:D4"/>
    <mergeCell ref="E4:E5"/>
    <mergeCell ref="F4:F5"/>
    <mergeCell ref="G4:G5"/>
    <mergeCell ref="B87:G87"/>
    <mergeCell ref="B107:G107"/>
    <mergeCell ref="B23:G23"/>
    <mergeCell ref="B28:G28"/>
    <mergeCell ref="B92:G92"/>
    <mergeCell ref="B95:G95"/>
    <mergeCell ref="B98:G98"/>
    <mergeCell ref="B101:G101"/>
    <mergeCell ref="B8:G8"/>
    <mergeCell ref="B13:G13"/>
    <mergeCell ref="B18:G18"/>
    <mergeCell ref="B31:G31"/>
    <mergeCell ref="B86:G86"/>
    <mergeCell ref="B247:G247"/>
    <mergeCell ref="B142:G142"/>
    <mergeCell ref="B186:G186"/>
    <mergeCell ref="B187:G187"/>
    <mergeCell ref="B188:G188"/>
    <mergeCell ref="B194:G194"/>
    <mergeCell ref="B222:G222"/>
    <mergeCell ref="B197:G197"/>
    <mergeCell ref="B181:G181"/>
    <mergeCell ref="B166:G166"/>
    <mergeCell ref="B234:G234"/>
    <mergeCell ref="B167:G167"/>
    <mergeCell ref="B242:G242"/>
    <mergeCell ref="B201:G201"/>
    <mergeCell ref="B202:G202"/>
    <mergeCell ref="B209:G209"/>
  </mergeCells>
  <printOptions horizontalCentered="1"/>
  <pageMargins left="0.23622047244094491" right="0.23622047244094491" top="0.74803149606299213" bottom="0.74803149606299213" header="0.31496062992125984" footer="0.31496062992125984"/>
  <pageSetup paperSize="9" scale="59" fitToHeight="16" orientation="portrait" horizontalDpi="180" verticalDpi="180" r:id="rId1"/>
  <rowBreaks count="3" manualBreakCount="3">
    <brk id="85" max="6" man="1"/>
    <brk id="186" max="6" man="1"/>
    <brk id="23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sqref="A1:S1"/>
    </sheetView>
  </sheetViews>
  <sheetFormatPr defaultRowHeight="21" x14ac:dyDescent="0.35"/>
  <cols>
    <col min="1" max="1" width="9.140625" style="80"/>
    <col min="2" max="16384" width="9.140625" style="81"/>
  </cols>
  <sheetData>
    <row r="1" spans="1:20" s="73" customFormat="1" ht="26.25" x14ac:dyDescent="0.25">
      <c r="A1" s="1118" t="s">
        <v>411</v>
      </c>
      <c r="B1" s="1118"/>
      <c r="C1" s="1118"/>
      <c r="D1" s="1118"/>
      <c r="E1" s="1118"/>
      <c r="F1" s="1118"/>
      <c r="G1" s="1118"/>
      <c r="H1" s="1118"/>
      <c r="I1" s="1118"/>
      <c r="J1" s="1118"/>
      <c r="K1" s="1118"/>
      <c r="L1" s="1118"/>
      <c r="M1" s="1118"/>
      <c r="N1" s="1118"/>
      <c r="O1" s="1118"/>
      <c r="P1" s="1118"/>
      <c r="Q1" s="1118"/>
      <c r="R1" s="1118"/>
      <c r="S1" s="1118"/>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19" t="s">
        <v>18</v>
      </c>
      <c r="C3" s="1119"/>
      <c r="D3" s="1119"/>
      <c r="E3" s="1119"/>
      <c r="F3" s="1119"/>
      <c r="G3" s="1119"/>
      <c r="H3" s="1119"/>
      <c r="I3" s="1119"/>
      <c r="J3" s="1119"/>
      <c r="K3" s="1119"/>
      <c r="L3" s="1119"/>
      <c r="M3" s="1119"/>
      <c r="N3" s="1119"/>
      <c r="O3" s="1119"/>
      <c r="P3" s="1119"/>
      <c r="Q3" s="1119"/>
      <c r="R3" s="1119"/>
      <c r="S3" s="1119"/>
      <c r="T3" s="1119"/>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19" t="s">
        <v>25</v>
      </c>
      <c r="C9" s="1119"/>
      <c r="D9" s="1119"/>
      <c r="E9" s="1119"/>
      <c r="F9" s="1119"/>
      <c r="G9" s="1119"/>
      <c r="H9" s="1119"/>
      <c r="I9" s="1119"/>
      <c r="J9" s="1119"/>
      <c r="K9" s="1119"/>
      <c r="L9" s="1119"/>
      <c r="M9" s="1119"/>
      <c r="N9" s="1119"/>
      <c r="O9" s="1119"/>
      <c r="P9" s="1119"/>
      <c r="Q9" s="1119"/>
      <c r="R9" s="1119"/>
      <c r="S9" s="1119"/>
      <c r="T9" s="1119"/>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19" t="s">
        <v>24</v>
      </c>
      <c r="C13" s="1119"/>
      <c r="D13" s="1119"/>
      <c r="E13" s="1119"/>
      <c r="F13" s="1119"/>
      <c r="G13" s="1119"/>
      <c r="H13" s="1119"/>
      <c r="I13" s="1119"/>
      <c r="J13" s="1119"/>
      <c r="K13" s="1119"/>
      <c r="L13" s="1119"/>
      <c r="M13" s="1119"/>
      <c r="N13" s="1119"/>
      <c r="O13" s="1119"/>
      <c r="P13" s="1119"/>
      <c r="Q13" s="1119"/>
      <c r="R13" s="1119"/>
      <c r="S13" s="1119"/>
      <c r="T13" s="1119"/>
    </row>
  </sheetData>
  <mergeCells count="4">
    <mergeCell ref="A1:S1"/>
    <mergeCell ref="B3:T3"/>
    <mergeCell ref="B9:T9"/>
    <mergeCell ref="B13:T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3"/>
  <sheetViews>
    <sheetView workbookViewId="0">
      <selection sqref="A1:S1"/>
    </sheetView>
  </sheetViews>
  <sheetFormatPr defaultRowHeight="15.75" x14ac:dyDescent="0.2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243"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x14ac:dyDescent="0.25">
      <c r="A2" s="1127" t="s">
        <v>412</v>
      </c>
      <c r="B2" s="1127"/>
      <c r="C2" s="1127"/>
      <c r="D2" s="1127"/>
      <c r="E2" s="1127"/>
      <c r="F2" s="1127"/>
      <c r="G2" s="1127"/>
      <c r="H2" s="1127"/>
      <c r="I2" s="1127"/>
      <c r="J2" s="1127"/>
      <c r="K2" s="1127"/>
      <c r="L2" s="1127"/>
    </row>
    <row r="4" spans="1:12" s="12" customFormat="1" ht="25.5" customHeight="1" x14ac:dyDescent="0.25">
      <c r="A4" s="1128" t="s">
        <v>26</v>
      </c>
      <c r="B4" s="1129" t="s">
        <v>37</v>
      </c>
      <c r="C4" s="1129" t="s">
        <v>38</v>
      </c>
      <c r="D4" s="1129" t="s">
        <v>39</v>
      </c>
      <c r="E4" s="1130" t="s">
        <v>45</v>
      </c>
      <c r="F4" s="1130"/>
      <c r="G4" s="1130"/>
      <c r="H4" s="1130"/>
      <c r="I4" s="1130" t="s">
        <v>40</v>
      </c>
      <c r="J4" s="1130"/>
      <c r="K4" s="1130"/>
      <c r="L4" s="1130"/>
    </row>
    <row r="5" spans="1:12" s="12" customFormat="1" ht="15.75" customHeight="1" x14ac:dyDescent="0.25">
      <c r="A5" s="1128"/>
      <c r="B5" s="1129"/>
      <c r="C5" s="1129"/>
      <c r="D5" s="1129"/>
      <c r="E5" s="1126" t="s">
        <v>41</v>
      </c>
      <c r="F5" s="1126" t="s">
        <v>42</v>
      </c>
      <c r="G5" s="1126"/>
      <c r="H5" s="1126"/>
      <c r="I5" s="1131" t="s">
        <v>41</v>
      </c>
      <c r="J5" s="1126" t="s">
        <v>42</v>
      </c>
      <c r="K5" s="1126"/>
      <c r="L5" s="1126"/>
    </row>
    <row r="6" spans="1:12" s="12" customFormat="1" ht="33" customHeight="1" x14ac:dyDescent="0.25">
      <c r="A6" s="1128"/>
      <c r="B6" s="1129"/>
      <c r="C6" s="1129"/>
      <c r="D6" s="1129"/>
      <c r="E6" s="1126"/>
      <c r="F6" s="83" t="s">
        <v>44</v>
      </c>
      <c r="G6" s="244" t="s">
        <v>43</v>
      </c>
      <c r="H6" s="83" t="s">
        <v>27</v>
      </c>
      <c r="I6" s="1131"/>
      <c r="J6" s="108" t="s">
        <v>44</v>
      </c>
      <c r="K6" s="108" t="s">
        <v>43</v>
      </c>
      <c r="L6" s="83" t="s">
        <v>27</v>
      </c>
    </row>
    <row r="7" spans="1:12" s="12" customFormat="1" x14ac:dyDescent="0.25">
      <c r="A7" s="1" t="s">
        <v>28</v>
      </c>
      <c r="B7" s="6">
        <v>2</v>
      </c>
      <c r="C7" s="1" t="s">
        <v>103</v>
      </c>
      <c r="D7" s="6">
        <v>4</v>
      </c>
      <c r="E7" s="83" t="s">
        <v>155</v>
      </c>
      <c r="F7" s="83">
        <v>6</v>
      </c>
      <c r="G7" s="244" t="s">
        <v>29</v>
      </c>
      <c r="H7" s="83">
        <v>8</v>
      </c>
      <c r="I7" s="108" t="s">
        <v>30</v>
      </c>
      <c r="J7" s="108">
        <v>10</v>
      </c>
      <c r="K7" s="108" t="s">
        <v>31</v>
      </c>
      <c r="L7" s="83">
        <v>12</v>
      </c>
    </row>
    <row r="8" spans="1:12" s="37" customFormat="1" ht="31.5" x14ac:dyDescent="0.25">
      <c r="A8" s="2">
        <v>1</v>
      </c>
      <c r="B8" s="36" t="s">
        <v>48</v>
      </c>
      <c r="C8" s="4"/>
      <c r="D8" s="4"/>
      <c r="E8" s="27"/>
      <c r="F8" s="27"/>
      <c r="G8" s="245"/>
      <c r="H8" s="27"/>
      <c r="I8" s="109"/>
      <c r="J8" s="109"/>
      <c r="K8" s="109"/>
      <c r="L8" s="84"/>
    </row>
    <row r="9" spans="1:12" s="37" customFormat="1" ht="98.25" customHeight="1" x14ac:dyDescent="0.25">
      <c r="A9" s="3" t="s">
        <v>46</v>
      </c>
      <c r="B9" s="38" t="s">
        <v>49</v>
      </c>
      <c r="C9" s="4"/>
      <c r="D9" s="4"/>
      <c r="E9" s="20">
        <f t="shared" ref="E9:L9" si="0">SUM(E10:E12)</f>
        <v>20823.465999999997</v>
      </c>
      <c r="F9" s="20">
        <f t="shared" si="0"/>
        <v>0</v>
      </c>
      <c r="G9" s="246">
        <f t="shared" si="0"/>
        <v>0</v>
      </c>
      <c r="H9" s="20">
        <f t="shared" si="0"/>
        <v>20823.465999999997</v>
      </c>
      <c r="I9" s="94">
        <f t="shared" si="0"/>
        <v>13418.63</v>
      </c>
      <c r="J9" s="85">
        <f t="shared" si="0"/>
        <v>0</v>
      </c>
      <c r="K9" s="85">
        <f t="shared" si="0"/>
        <v>0</v>
      </c>
      <c r="L9" s="85">
        <f t="shared" si="0"/>
        <v>13418.63</v>
      </c>
    </row>
    <row r="10" spans="1:12" s="18" customFormat="1" ht="25.5" x14ac:dyDescent="0.25">
      <c r="A10" s="28"/>
      <c r="B10" s="29" t="s">
        <v>50</v>
      </c>
      <c r="C10" s="13" t="s">
        <v>32</v>
      </c>
      <c r="D10" s="30" t="s">
        <v>33</v>
      </c>
      <c r="E10" s="31">
        <f t="shared" ref="E10:E21" si="1">SUM(F10:H10)</f>
        <v>11170.18</v>
      </c>
      <c r="F10" s="31">
        <v>0</v>
      </c>
      <c r="G10" s="247">
        <v>0</v>
      </c>
      <c r="H10" s="31">
        <v>11170.18</v>
      </c>
      <c r="I10" s="93">
        <f t="shared" ref="I10:I17" si="2">SUM(J10:L10)</f>
        <v>6897.73</v>
      </c>
      <c r="J10" s="93">
        <v>0</v>
      </c>
      <c r="K10" s="93">
        <v>0</v>
      </c>
      <c r="L10" s="87">
        <v>6897.73</v>
      </c>
    </row>
    <row r="11" spans="1:12" s="18" customFormat="1" ht="25.5" x14ac:dyDescent="0.25">
      <c r="A11" s="34"/>
      <c r="B11" s="29" t="s">
        <v>47</v>
      </c>
      <c r="C11" s="13" t="s">
        <v>34</v>
      </c>
      <c r="D11" s="30" t="s">
        <v>33</v>
      </c>
      <c r="E11" s="31">
        <f t="shared" si="1"/>
        <v>5909.49</v>
      </c>
      <c r="F11" s="31">
        <v>0</v>
      </c>
      <c r="G11" s="247">
        <v>0</v>
      </c>
      <c r="H11" s="31">
        <v>5909.49</v>
      </c>
      <c r="I11" s="93">
        <f t="shared" si="2"/>
        <v>4976.6000000000004</v>
      </c>
      <c r="J11" s="93">
        <v>0</v>
      </c>
      <c r="K11" s="93">
        <v>0</v>
      </c>
      <c r="L11" s="88">
        <v>4976.6000000000004</v>
      </c>
    </row>
    <row r="12" spans="1:12" s="18" customFormat="1" ht="15" customHeight="1" x14ac:dyDescent="0.25">
      <c r="A12" s="34"/>
      <c r="B12" s="29" t="s">
        <v>52</v>
      </c>
      <c r="C12" s="13" t="s">
        <v>51</v>
      </c>
      <c r="D12" s="30" t="s">
        <v>33</v>
      </c>
      <c r="E12" s="32">
        <f t="shared" si="1"/>
        <v>3743.7959999999998</v>
      </c>
      <c r="F12" s="31">
        <v>0</v>
      </c>
      <c r="G12" s="247">
        <v>0</v>
      </c>
      <c r="H12" s="32">
        <v>3743.7959999999998</v>
      </c>
      <c r="I12" s="93">
        <f t="shared" si="2"/>
        <v>1544.3</v>
      </c>
      <c r="J12" s="93">
        <v>0</v>
      </c>
      <c r="K12" s="93">
        <v>0</v>
      </c>
      <c r="L12" s="86">
        <v>1544.3</v>
      </c>
    </row>
    <row r="13" spans="1:12" s="37" customFormat="1" ht="78.75" x14ac:dyDescent="0.25">
      <c r="A13" s="3" t="s">
        <v>63</v>
      </c>
      <c r="B13" s="38" t="s">
        <v>53</v>
      </c>
      <c r="C13" s="4" t="s">
        <v>51</v>
      </c>
      <c r="D13" s="4" t="s">
        <v>33</v>
      </c>
      <c r="E13" s="39">
        <f t="shared" si="1"/>
        <v>620</v>
      </c>
      <c r="F13" s="39">
        <v>0</v>
      </c>
      <c r="G13" s="246">
        <v>0</v>
      </c>
      <c r="H13" s="39">
        <v>620</v>
      </c>
      <c r="I13" s="94">
        <f t="shared" si="2"/>
        <v>1673.39</v>
      </c>
      <c r="J13" s="94">
        <v>0</v>
      </c>
      <c r="K13" s="94">
        <v>0</v>
      </c>
      <c r="L13" s="85">
        <v>1673.39</v>
      </c>
    </row>
    <row r="14" spans="1:12" s="37" customFormat="1" ht="63" x14ac:dyDescent="0.25">
      <c r="A14" s="3" t="s">
        <v>65</v>
      </c>
      <c r="B14" s="38" t="s">
        <v>54</v>
      </c>
      <c r="C14" s="4" t="s">
        <v>51</v>
      </c>
      <c r="D14" s="4" t="s">
        <v>33</v>
      </c>
      <c r="E14" s="39">
        <f t="shared" si="1"/>
        <v>0</v>
      </c>
      <c r="F14" s="39">
        <v>0</v>
      </c>
      <c r="G14" s="246">
        <v>0</v>
      </c>
      <c r="H14" s="20">
        <v>0</v>
      </c>
      <c r="I14" s="94">
        <f t="shared" si="2"/>
        <v>1252.05</v>
      </c>
      <c r="J14" s="94">
        <v>0</v>
      </c>
      <c r="K14" s="94">
        <v>0</v>
      </c>
      <c r="L14" s="85">
        <v>1252.05</v>
      </c>
    </row>
    <row r="15" spans="1:12" s="37" customFormat="1" ht="78.75" x14ac:dyDescent="0.25">
      <c r="A15" s="3" t="s">
        <v>66</v>
      </c>
      <c r="B15" s="38" t="s">
        <v>55</v>
      </c>
      <c r="C15" s="4" t="s">
        <v>51</v>
      </c>
      <c r="D15" s="4" t="s">
        <v>33</v>
      </c>
      <c r="E15" s="39">
        <f t="shared" si="1"/>
        <v>1150</v>
      </c>
      <c r="F15" s="39">
        <v>0</v>
      </c>
      <c r="G15" s="246">
        <v>0</v>
      </c>
      <c r="H15" s="20">
        <v>1150</v>
      </c>
      <c r="I15" s="94">
        <f t="shared" si="2"/>
        <v>633.14</v>
      </c>
      <c r="J15" s="94">
        <v>0</v>
      </c>
      <c r="K15" s="94">
        <v>0</v>
      </c>
      <c r="L15" s="85">
        <v>633.14</v>
      </c>
    </row>
    <row r="16" spans="1:12" s="37" customFormat="1" ht="78.75" x14ac:dyDescent="0.25">
      <c r="A16" s="40" t="s">
        <v>67</v>
      </c>
      <c r="B16" s="41" t="s">
        <v>56</v>
      </c>
      <c r="C16" s="11" t="s">
        <v>60</v>
      </c>
      <c r="D16" s="4" t="s">
        <v>33</v>
      </c>
      <c r="E16" s="39">
        <f t="shared" si="1"/>
        <v>80.28</v>
      </c>
      <c r="F16" s="39">
        <v>0</v>
      </c>
      <c r="G16" s="246">
        <v>0</v>
      </c>
      <c r="H16" s="39">
        <v>80.28</v>
      </c>
      <c r="I16" s="94">
        <f t="shared" si="2"/>
        <v>0</v>
      </c>
      <c r="J16" s="94">
        <v>0</v>
      </c>
      <c r="K16" s="94">
        <v>0</v>
      </c>
      <c r="L16" s="89">
        <v>0</v>
      </c>
    </row>
    <row r="17" spans="1:12" s="37" customFormat="1" ht="78.75" x14ac:dyDescent="0.25">
      <c r="A17" s="3" t="s">
        <v>68</v>
      </c>
      <c r="B17" s="38" t="s">
        <v>57</v>
      </c>
      <c r="C17" s="4" t="s">
        <v>51</v>
      </c>
      <c r="D17" s="4" t="s">
        <v>33</v>
      </c>
      <c r="E17" s="39">
        <f t="shared" si="1"/>
        <v>635</v>
      </c>
      <c r="F17" s="39">
        <v>0</v>
      </c>
      <c r="G17" s="246">
        <v>0</v>
      </c>
      <c r="H17" s="39">
        <v>635</v>
      </c>
      <c r="I17" s="94">
        <f t="shared" si="2"/>
        <v>538.91</v>
      </c>
      <c r="J17" s="94">
        <v>0</v>
      </c>
      <c r="K17" s="94">
        <v>0</v>
      </c>
      <c r="L17" s="85">
        <v>538.91</v>
      </c>
    </row>
    <row r="18" spans="1:12" s="37" customFormat="1" ht="63.75" customHeight="1" x14ac:dyDescent="0.25">
      <c r="A18" s="3" t="s">
        <v>64</v>
      </c>
      <c r="B18" s="38" t="s">
        <v>58</v>
      </c>
      <c r="C18" s="4" t="s">
        <v>59</v>
      </c>
      <c r="D18" s="4" t="s">
        <v>33</v>
      </c>
      <c r="E18" s="39">
        <f t="shared" si="1"/>
        <v>2518.7399999999998</v>
      </c>
      <c r="F18" s="39">
        <f t="shared" ref="F18:L18" si="3">SUM(F19:F20)</f>
        <v>1652.29</v>
      </c>
      <c r="G18" s="246">
        <f t="shared" si="3"/>
        <v>355.45</v>
      </c>
      <c r="H18" s="39">
        <f t="shared" si="3"/>
        <v>511</v>
      </c>
      <c r="I18" s="94">
        <f t="shared" si="3"/>
        <v>2523.6999999999998</v>
      </c>
      <c r="J18" s="94">
        <f t="shared" si="3"/>
        <v>0</v>
      </c>
      <c r="K18" s="94">
        <f t="shared" si="3"/>
        <v>0</v>
      </c>
      <c r="L18" s="89">
        <f t="shared" si="3"/>
        <v>2523.6999999999998</v>
      </c>
    </row>
    <row r="19" spans="1:12" s="18" customFormat="1" ht="51" x14ac:dyDescent="0.25">
      <c r="A19" s="34"/>
      <c r="B19" s="43" t="s">
        <v>61</v>
      </c>
      <c r="C19" s="13" t="s">
        <v>62</v>
      </c>
      <c r="D19" s="30" t="s">
        <v>33</v>
      </c>
      <c r="E19" s="32">
        <f t="shared" si="1"/>
        <v>148.44999999999999</v>
      </c>
      <c r="F19" s="35">
        <v>0</v>
      </c>
      <c r="G19" s="247">
        <v>148.44999999999999</v>
      </c>
      <c r="H19" s="35">
        <v>0</v>
      </c>
      <c r="I19" s="90">
        <f>SUM(J19:L19)</f>
        <v>0</v>
      </c>
      <c r="J19" s="90">
        <v>0</v>
      </c>
      <c r="K19" s="90">
        <v>0</v>
      </c>
      <c r="L19" s="88">
        <v>0</v>
      </c>
    </row>
    <row r="20" spans="1:12" s="18" customFormat="1" ht="51" x14ac:dyDescent="0.25">
      <c r="A20" s="34"/>
      <c r="B20" s="43" t="s">
        <v>5</v>
      </c>
      <c r="C20" s="13" t="s">
        <v>62</v>
      </c>
      <c r="D20" s="30" t="s">
        <v>33</v>
      </c>
      <c r="E20" s="32">
        <f t="shared" si="1"/>
        <v>2370.29</v>
      </c>
      <c r="F20" s="44">
        <v>1652.29</v>
      </c>
      <c r="G20" s="247">
        <v>207</v>
      </c>
      <c r="H20" s="44">
        <v>511</v>
      </c>
      <c r="I20" s="90">
        <f>SUM(J20:L20)</f>
        <v>2523.6999999999998</v>
      </c>
      <c r="J20" s="90">
        <v>0</v>
      </c>
      <c r="K20" s="90">
        <v>0</v>
      </c>
      <c r="L20" s="90">
        <v>2523.6999999999998</v>
      </c>
    </row>
    <row r="21" spans="1:12" s="37" customFormat="1" ht="63.75" customHeight="1" x14ac:dyDescent="0.25">
      <c r="A21" s="40" t="s">
        <v>69</v>
      </c>
      <c r="B21" s="41" t="s">
        <v>70</v>
      </c>
      <c r="C21" s="11" t="s">
        <v>62</v>
      </c>
      <c r="D21" s="4" t="s">
        <v>33</v>
      </c>
      <c r="E21" s="39">
        <f t="shared" si="1"/>
        <v>0</v>
      </c>
      <c r="F21" s="39">
        <v>0</v>
      </c>
      <c r="G21" s="246">
        <v>0</v>
      </c>
      <c r="H21" s="39">
        <v>0</v>
      </c>
      <c r="I21" s="94">
        <f>SUM(J21:L21)</f>
        <v>0</v>
      </c>
      <c r="J21" s="94">
        <v>0</v>
      </c>
      <c r="K21" s="94">
        <v>0</v>
      </c>
      <c r="L21" s="89">
        <v>0</v>
      </c>
    </row>
    <row r="22" spans="1:12" s="37" customFormat="1" ht="63" x14ac:dyDescent="0.25">
      <c r="A22" s="3" t="s">
        <v>71</v>
      </c>
      <c r="B22" s="38" t="s">
        <v>6</v>
      </c>
      <c r="C22" s="4" t="s">
        <v>62</v>
      </c>
      <c r="D22" s="4" t="s">
        <v>33</v>
      </c>
      <c r="E22" s="39">
        <f t="shared" ref="E22:L22" si="4">SUM(E23:E25)</f>
        <v>4377.0999999999995</v>
      </c>
      <c r="F22" s="39">
        <f t="shared" si="4"/>
        <v>2902.74</v>
      </c>
      <c r="G22" s="246">
        <f t="shared" si="4"/>
        <v>1474.36</v>
      </c>
      <c r="H22" s="39">
        <f t="shared" si="4"/>
        <v>0</v>
      </c>
      <c r="I22" s="94">
        <f t="shared" si="4"/>
        <v>2077.2200000000003</v>
      </c>
      <c r="J22" s="94">
        <f t="shared" si="4"/>
        <v>349.51</v>
      </c>
      <c r="K22" s="94">
        <f t="shared" si="4"/>
        <v>1015.84</v>
      </c>
      <c r="L22" s="89">
        <f t="shared" si="4"/>
        <v>711.87</v>
      </c>
    </row>
    <row r="23" spans="1:12" s="18" customFormat="1" ht="25.5" x14ac:dyDescent="0.25">
      <c r="A23" s="49"/>
      <c r="B23" s="29" t="s">
        <v>72</v>
      </c>
      <c r="C23" s="13" t="s">
        <v>62</v>
      </c>
      <c r="D23" s="30" t="s">
        <v>33</v>
      </c>
      <c r="E23" s="32">
        <f>SUM(F23:H23)</f>
        <v>2902.74</v>
      </c>
      <c r="F23" s="32">
        <v>2902.74</v>
      </c>
      <c r="G23" s="248"/>
      <c r="H23" s="32"/>
      <c r="I23" s="93">
        <f>SUM(J23:L23)</f>
        <v>1052.48</v>
      </c>
      <c r="J23" s="93">
        <v>349.51</v>
      </c>
      <c r="K23" s="93"/>
      <c r="L23" s="87">
        <v>702.97</v>
      </c>
    </row>
    <row r="24" spans="1:12" s="18" customFormat="1" ht="38.25" x14ac:dyDescent="0.25">
      <c r="A24" s="50"/>
      <c r="B24" s="51" t="s">
        <v>73</v>
      </c>
      <c r="C24" s="48" t="s">
        <v>59</v>
      </c>
      <c r="D24" s="30" t="s">
        <v>33</v>
      </c>
      <c r="E24" s="32">
        <f>SUM(F24:H24)</f>
        <v>1474.36</v>
      </c>
      <c r="F24" s="32">
        <v>0</v>
      </c>
      <c r="G24" s="247">
        <v>1474.36</v>
      </c>
      <c r="H24" s="32"/>
      <c r="I24" s="93">
        <f>SUM(J24:L24)</f>
        <v>1015.84</v>
      </c>
      <c r="J24" s="90">
        <v>0</v>
      </c>
      <c r="K24" s="93">
        <v>1015.84</v>
      </c>
      <c r="L24" s="87">
        <v>0</v>
      </c>
    </row>
    <row r="25" spans="1:12" s="18" customFormat="1" ht="38.25" x14ac:dyDescent="0.25">
      <c r="A25" s="34"/>
      <c r="B25" s="43" t="s">
        <v>74</v>
      </c>
      <c r="C25" s="13" t="s">
        <v>59</v>
      </c>
      <c r="D25" s="30" t="s">
        <v>33</v>
      </c>
      <c r="E25" s="32">
        <f>SUM(F25:H25)</f>
        <v>0</v>
      </c>
      <c r="F25" s="35">
        <v>0</v>
      </c>
      <c r="G25" s="247">
        <v>0</v>
      </c>
      <c r="H25" s="35"/>
      <c r="I25" s="93">
        <f>SUM(J25:L25)</f>
        <v>8.9</v>
      </c>
      <c r="J25" s="90">
        <v>0</v>
      </c>
      <c r="K25" s="90">
        <v>0</v>
      </c>
      <c r="L25" s="88">
        <v>8.9</v>
      </c>
    </row>
    <row r="26" spans="1:12" s="37" customFormat="1" ht="110.25" x14ac:dyDescent="0.25">
      <c r="A26" s="3" t="s">
        <v>75</v>
      </c>
      <c r="B26" s="38" t="s">
        <v>76</v>
      </c>
      <c r="C26" s="11" t="s">
        <v>51</v>
      </c>
      <c r="D26" s="4" t="s">
        <v>33</v>
      </c>
      <c r="E26" s="39">
        <f>SUM(F26:H26)</f>
        <v>150</v>
      </c>
      <c r="F26" s="39">
        <v>0</v>
      </c>
      <c r="G26" s="246">
        <v>0</v>
      </c>
      <c r="H26" s="39">
        <v>150</v>
      </c>
      <c r="I26" s="94">
        <f>SUM(J26:L26)</f>
        <v>22.44</v>
      </c>
      <c r="J26" s="94">
        <v>0</v>
      </c>
      <c r="K26" s="94">
        <v>0</v>
      </c>
      <c r="L26" s="89">
        <v>22.44</v>
      </c>
    </row>
    <row r="27" spans="1:12" ht="63" x14ac:dyDescent="0.25">
      <c r="A27" s="15" t="s">
        <v>78</v>
      </c>
      <c r="B27" s="10" t="s">
        <v>77</v>
      </c>
      <c r="C27" s="9"/>
      <c r="D27" s="9"/>
      <c r="E27" s="22"/>
      <c r="F27" s="22"/>
      <c r="G27" s="249"/>
      <c r="H27" s="22"/>
      <c r="I27" s="95"/>
      <c r="J27" s="95"/>
      <c r="K27" s="95"/>
      <c r="L27" s="91"/>
    </row>
    <row r="28" spans="1:12" s="37" customFormat="1" ht="63" x14ac:dyDescent="0.25">
      <c r="A28" s="40" t="s">
        <v>80</v>
      </c>
      <c r="B28" s="41" t="s">
        <v>79</v>
      </c>
      <c r="C28" s="11" t="s">
        <v>88</v>
      </c>
      <c r="D28" s="4" t="s">
        <v>33</v>
      </c>
      <c r="E28" s="39">
        <f>SUM(F28:H28)</f>
        <v>4344.8999999999996</v>
      </c>
      <c r="F28" s="39">
        <v>0</v>
      </c>
      <c r="G28" s="246">
        <v>4344.8999999999996</v>
      </c>
      <c r="H28" s="39">
        <v>0</v>
      </c>
      <c r="I28" s="94">
        <f>SUM(J28:L28)</f>
        <v>1023.17</v>
      </c>
      <c r="J28" s="94">
        <v>120.51</v>
      </c>
      <c r="K28" s="94">
        <v>793.8</v>
      </c>
      <c r="L28" s="89">
        <v>108.86</v>
      </c>
    </row>
    <row r="29" spans="1:12" s="37" customFormat="1" ht="192" customHeight="1" x14ac:dyDescent="0.25">
      <c r="A29" s="3" t="s">
        <v>81</v>
      </c>
      <c r="B29" s="38" t="s">
        <v>35</v>
      </c>
      <c r="C29" s="4" t="s">
        <v>62</v>
      </c>
      <c r="D29" s="4" t="s">
        <v>33</v>
      </c>
      <c r="E29" s="20">
        <v>0</v>
      </c>
      <c r="F29" s="20">
        <v>0</v>
      </c>
      <c r="G29" s="246">
        <v>0</v>
      </c>
      <c r="H29" s="20">
        <v>0</v>
      </c>
      <c r="I29" s="94">
        <f>SUM(J29:L29)</f>
        <v>0</v>
      </c>
      <c r="J29" s="94">
        <v>0</v>
      </c>
      <c r="K29" s="94">
        <v>0</v>
      </c>
      <c r="L29" s="85">
        <v>0</v>
      </c>
    </row>
    <row r="30" spans="1:12" s="37" customFormat="1" ht="78.75" x14ac:dyDescent="0.25">
      <c r="A30" s="3" t="s">
        <v>83</v>
      </c>
      <c r="B30" s="38" t="s">
        <v>82</v>
      </c>
      <c r="C30" s="4" t="s">
        <v>62</v>
      </c>
      <c r="D30" s="4" t="s">
        <v>33</v>
      </c>
      <c r="E30" s="20">
        <v>0</v>
      </c>
      <c r="F30" s="20">
        <v>0</v>
      </c>
      <c r="G30" s="246">
        <v>0</v>
      </c>
      <c r="H30" s="20">
        <v>0</v>
      </c>
      <c r="I30" s="94">
        <f>SUM(J30:L30)</f>
        <v>0</v>
      </c>
      <c r="J30" s="94">
        <v>0</v>
      </c>
      <c r="K30" s="94">
        <v>0</v>
      </c>
      <c r="L30" s="85">
        <v>0</v>
      </c>
    </row>
    <row r="31" spans="1:12" s="37" customFormat="1" ht="34.5" customHeight="1" x14ac:dyDescent="0.25">
      <c r="A31" s="3" t="s">
        <v>85</v>
      </c>
      <c r="B31" s="38" t="s">
        <v>84</v>
      </c>
      <c r="C31" s="4" t="s">
        <v>62</v>
      </c>
      <c r="D31" s="4" t="s">
        <v>33</v>
      </c>
      <c r="E31" s="20">
        <v>0</v>
      </c>
      <c r="F31" s="20">
        <v>0</v>
      </c>
      <c r="G31" s="246">
        <v>0</v>
      </c>
      <c r="H31" s="20">
        <v>0</v>
      </c>
      <c r="I31" s="94">
        <f>SUM(J31:L31)</f>
        <v>0</v>
      </c>
      <c r="J31" s="94">
        <v>0</v>
      </c>
      <c r="K31" s="94">
        <v>0</v>
      </c>
      <c r="L31" s="85">
        <v>0</v>
      </c>
    </row>
    <row r="32" spans="1:12" s="37" customFormat="1" ht="34.5" customHeight="1" x14ac:dyDescent="0.25">
      <c r="A32" s="3" t="s">
        <v>87</v>
      </c>
      <c r="B32" s="38" t="s">
        <v>86</v>
      </c>
      <c r="C32" s="4" t="s">
        <v>88</v>
      </c>
      <c r="D32" s="4" t="s">
        <v>33</v>
      </c>
      <c r="E32" s="20">
        <f>F32+G32+H32</f>
        <v>0</v>
      </c>
      <c r="F32" s="20">
        <v>0</v>
      </c>
      <c r="G32" s="246">
        <v>0</v>
      </c>
      <c r="H32" s="20">
        <v>0</v>
      </c>
      <c r="I32" s="94">
        <f>SUM(J32:L32)</f>
        <v>0</v>
      </c>
      <c r="J32" s="94">
        <v>0</v>
      </c>
      <c r="K32" s="94">
        <v>0</v>
      </c>
      <c r="L32" s="85">
        <v>0</v>
      </c>
    </row>
    <row r="33" spans="1:13" s="37" customFormat="1" ht="78.75" x14ac:dyDescent="0.25">
      <c r="A33" s="3" t="s">
        <v>90</v>
      </c>
      <c r="B33" s="38" t="s">
        <v>89</v>
      </c>
      <c r="C33" s="4" t="s">
        <v>91</v>
      </c>
      <c r="D33" s="4" t="s">
        <v>33</v>
      </c>
      <c r="E33" s="20">
        <f t="shared" ref="E33:L33" si="5">SUM(E34:E36)</f>
        <v>1200.2</v>
      </c>
      <c r="F33" s="20">
        <f t="shared" si="5"/>
        <v>0</v>
      </c>
      <c r="G33" s="246">
        <f t="shared" si="5"/>
        <v>0</v>
      </c>
      <c r="H33" s="59">
        <f t="shared" si="5"/>
        <v>1200.2</v>
      </c>
      <c r="I33" s="94">
        <f t="shared" si="5"/>
        <v>2234.36</v>
      </c>
      <c r="J33" s="94">
        <f t="shared" si="5"/>
        <v>0</v>
      </c>
      <c r="K33" s="94">
        <f t="shared" si="5"/>
        <v>0</v>
      </c>
      <c r="L33" s="85">
        <f t="shared" si="5"/>
        <v>2234.36</v>
      </c>
    </row>
    <row r="34" spans="1:13" s="52" customFormat="1" ht="51" x14ac:dyDescent="0.25">
      <c r="A34" s="49"/>
      <c r="B34" s="29" t="s">
        <v>92</v>
      </c>
      <c r="C34" s="13" t="s">
        <v>51</v>
      </c>
      <c r="D34" s="13" t="s">
        <v>33</v>
      </c>
      <c r="E34" s="33">
        <f>SUM(F34:H34)</f>
        <v>704</v>
      </c>
      <c r="F34" s="33">
        <v>0</v>
      </c>
      <c r="G34" s="248">
        <v>0</v>
      </c>
      <c r="H34" s="33">
        <v>704</v>
      </c>
      <c r="I34" s="93">
        <f>SUM(J34:L34)</f>
        <v>2033.3</v>
      </c>
      <c r="J34" s="93">
        <v>0</v>
      </c>
      <c r="K34" s="93">
        <v>0</v>
      </c>
      <c r="L34" s="86">
        <v>2033.3</v>
      </c>
    </row>
    <row r="35" spans="1:13" s="52" customFormat="1" ht="38.25" x14ac:dyDescent="0.25">
      <c r="A35" s="49"/>
      <c r="B35" s="29" t="s">
        <v>93</v>
      </c>
      <c r="C35" s="13" t="s">
        <v>91</v>
      </c>
      <c r="D35" s="13" t="s">
        <v>33</v>
      </c>
      <c r="E35" s="33">
        <f>SUM(F35:H35)</f>
        <v>109</v>
      </c>
      <c r="F35" s="33">
        <v>0</v>
      </c>
      <c r="G35" s="248">
        <v>0</v>
      </c>
      <c r="H35" s="32">
        <v>109</v>
      </c>
      <c r="I35" s="93">
        <f>SUM(J35:L35)</f>
        <v>0</v>
      </c>
      <c r="J35" s="93">
        <v>0</v>
      </c>
      <c r="K35" s="93">
        <v>0</v>
      </c>
      <c r="L35" s="86">
        <v>0</v>
      </c>
    </row>
    <row r="36" spans="1:13" s="52" customFormat="1" ht="25.5" x14ac:dyDescent="0.25">
      <c r="A36" s="49"/>
      <c r="B36" s="29" t="s">
        <v>94</v>
      </c>
      <c r="C36" s="13" t="s">
        <v>34</v>
      </c>
      <c r="D36" s="13" t="s">
        <v>33</v>
      </c>
      <c r="E36" s="33">
        <f>SUM(F36:H36)</f>
        <v>387.2</v>
      </c>
      <c r="F36" s="33">
        <v>0</v>
      </c>
      <c r="G36" s="248">
        <v>0</v>
      </c>
      <c r="H36" s="32">
        <v>387.2</v>
      </c>
      <c r="I36" s="93">
        <f>SUM(J36:L36)</f>
        <v>201.06</v>
      </c>
      <c r="J36" s="93">
        <v>0</v>
      </c>
      <c r="K36" s="93">
        <v>0</v>
      </c>
      <c r="L36" s="86">
        <v>201.06</v>
      </c>
      <c r="M36"/>
    </row>
    <row r="37" spans="1:13" s="37" customFormat="1" ht="63" x14ac:dyDescent="0.25">
      <c r="A37" s="3" t="s">
        <v>96</v>
      </c>
      <c r="B37" s="38" t="s">
        <v>95</v>
      </c>
      <c r="C37" s="4" t="s">
        <v>62</v>
      </c>
      <c r="D37" s="4" t="s">
        <v>33</v>
      </c>
      <c r="E37" s="20">
        <v>0</v>
      </c>
      <c r="F37" s="20">
        <v>0</v>
      </c>
      <c r="G37" s="246">
        <v>0</v>
      </c>
      <c r="H37" s="20">
        <v>0</v>
      </c>
      <c r="I37" s="94">
        <v>0</v>
      </c>
      <c r="J37" s="94">
        <v>0</v>
      </c>
      <c r="K37" s="94">
        <v>0</v>
      </c>
      <c r="L37" s="85">
        <v>0</v>
      </c>
    </row>
    <row r="38" spans="1:13" s="37" customFormat="1" ht="110.25" x14ac:dyDescent="0.25">
      <c r="A38" s="3" t="s">
        <v>98</v>
      </c>
      <c r="B38" s="38" t="s">
        <v>97</v>
      </c>
      <c r="C38" s="4" t="s">
        <v>99</v>
      </c>
      <c r="D38" s="4" t="s">
        <v>33</v>
      </c>
      <c r="E38" s="20">
        <f>SUM(E39:E40)</f>
        <v>192</v>
      </c>
      <c r="F38" s="20">
        <v>0</v>
      </c>
      <c r="G38" s="246">
        <f>SUM(G39:G40)</f>
        <v>192</v>
      </c>
      <c r="H38" s="20">
        <v>0</v>
      </c>
      <c r="I38" s="94">
        <v>0</v>
      </c>
      <c r="J38" s="94">
        <v>0</v>
      </c>
      <c r="K38" s="94">
        <v>0</v>
      </c>
      <c r="L38" s="85">
        <v>0</v>
      </c>
    </row>
    <row r="39" spans="1:13" s="18" customFormat="1" ht="51" x14ac:dyDescent="0.25">
      <c r="A39" s="49"/>
      <c r="B39" s="29" t="s">
        <v>100</v>
      </c>
      <c r="C39" s="13" t="s">
        <v>99</v>
      </c>
      <c r="D39" s="13" t="s">
        <v>33</v>
      </c>
      <c r="E39" s="33">
        <f>SUM(F39:H39)</f>
        <v>192</v>
      </c>
      <c r="F39" s="33">
        <v>0</v>
      </c>
      <c r="G39" s="248">
        <v>192</v>
      </c>
      <c r="H39" s="33">
        <v>0</v>
      </c>
      <c r="I39" s="93">
        <v>0</v>
      </c>
      <c r="J39" s="93">
        <v>0</v>
      </c>
      <c r="K39" s="93">
        <v>0</v>
      </c>
      <c r="L39" s="86">
        <v>0</v>
      </c>
    </row>
    <row r="40" spans="1:13" s="18" customFormat="1" ht="51" x14ac:dyDescent="0.25">
      <c r="A40" s="49"/>
      <c r="B40" s="29" t="s">
        <v>101</v>
      </c>
      <c r="C40" s="13" t="s">
        <v>99</v>
      </c>
      <c r="D40" s="13" t="s">
        <v>33</v>
      </c>
      <c r="E40" s="33">
        <f>SUM(F40:H40)</f>
        <v>0</v>
      </c>
      <c r="F40" s="33">
        <v>0</v>
      </c>
      <c r="G40" s="248">
        <v>0</v>
      </c>
      <c r="H40" s="33">
        <v>0</v>
      </c>
      <c r="I40" s="93">
        <v>0</v>
      </c>
      <c r="J40" s="93">
        <v>0</v>
      </c>
      <c r="K40" s="93">
        <v>0</v>
      </c>
      <c r="L40" s="86">
        <v>0</v>
      </c>
    </row>
    <row r="41" spans="1:13" ht="31.5" x14ac:dyDescent="0.25">
      <c r="A41" s="16" t="s">
        <v>103</v>
      </c>
      <c r="B41" s="8" t="s">
        <v>102</v>
      </c>
      <c r="C41" s="4"/>
      <c r="D41" s="26"/>
      <c r="E41" s="24"/>
      <c r="F41" s="24"/>
      <c r="G41" s="250"/>
      <c r="H41" s="24"/>
      <c r="I41" s="110"/>
      <c r="J41" s="110"/>
      <c r="K41" s="110"/>
      <c r="L41" s="92"/>
    </row>
    <row r="42" spans="1:13" s="37" customFormat="1" ht="110.25" x14ac:dyDescent="0.25">
      <c r="A42" s="3" t="s">
        <v>105</v>
      </c>
      <c r="B42" s="38" t="s">
        <v>104</v>
      </c>
      <c r="C42" s="4" t="s">
        <v>99</v>
      </c>
      <c r="D42" s="4" t="s">
        <v>33</v>
      </c>
      <c r="E42" s="39">
        <f t="shared" ref="E42:L42" si="6">SUM(E43:E47)</f>
        <v>10101.969999999999</v>
      </c>
      <c r="F42" s="39">
        <f t="shared" si="6"/>
        <v>0</v>
      </c>
      <c r="G42" s="246">
        <f t="shared" si="6"/>
        <v>711.97</v>
      </c>
      <c r="H42" s="39">
        <f t="shared" si="6"/>
        <v>9390</v>
      </c>
      <c r="I42" s="94">
        <f t="shared" si="6"/>
        <v>2737.07</v>
      </c>
      <c r="J42" s="94">
        <f t="shared" si="6"/>
        <v>913.99</v>
      </c>
      <c r="K42" s="94">
        <f t="shared" si="6"/>
        <v>0</v>
      </c>
      <c r="L42" s="89">
        <f t="shared" si="6"/>
        <v>1823.08</v>
      </c>
    </row>
    <row r="43" spans="1:13" ht="63" x14ac:dyDescent="0.25">
      <c r="A43" s="1" t="s">
        <v>1</v>
      </c>
      <c r="B43" s="5" t="s">
        <v>106</v>
      </c>
      <c r="C43" s="6" t="s">
        <v>59</v>
      </c>
      <c r="D43" s="6" t="s">
        <v>33</v>
      </c>
      <c r="E43" s="23">
        <f t="shared" ref="E43:E48" si="7">SUM(F43:H43)</f>
        <v>711.97</v>
      </c>
      <c r="F43" s="23">
        <v>0</v>
      </c>
      <c r="G43" s="249">
        <v>711.97</v>
      </c>
      <c r="H43" s="23">
        <v>0</v>
      </c>
      <c r="I43" s="95">
        <f>SUM(J43:L43)</f>
        <v>1732.19</v>
      </c>
      <c r="J43" s="95">
        <v>913.99</v>
      </c>
      <c r="K43" s="95">
        <v>0</v>
      </c>
      <c r="L43" s="82">
        <v>818.2</v>
      </c>
    </row>
    <row r="44" spans="1:13" ht="78.75" x14ac:dyDescent="0.25">
      <c r="A44" s="1" t="s">
        <v>0</v>
      </c>
      <c r="B44" s="5" t="s">
        <v>107</v>
      </c>
      <c r="C44" s="6" t="s">
        <v>108</v>
      </c>
      <c r="D44" s="6" t="s">
        <v>33</v>
      </c>
      <c r="E44" s="23">
        <f t="shared" si="7"/>
        <v>0</v>
      </c>
      <c r="F44" s="23">
        <v>0</v>
      </c>
      <c r="G44" s="249">
        <v>0</v>
      </c>
      <c r="H44" s="23">
        <v>0</v>
      </c>
      <c r="I44" s="95">
        <v>0</v>
      </c>
      <c r="J44" s="95">
        <v>0</v>
      </c>
      <c r="K44" s="95">
        <v>0</v>
      </c>
      <c r="L44" s="82">
        <v>0</v>
      </c>
    </row>
    <row r="45" spans="1:13" ht="78.75" x14ac:dyDescent="0.25">
      <c r="A45" s="1" t="s">
        <v>2</v>
      </c>
      <c r="B45" s="5" t="s">
        <v>109</v>
      </c>
      <c r="C45" s="6" t="s">
        <v>99</v>
      </c>
      <c r="D45" s="6" t="s">
        <v>33</v>
      </c>
      <c r="E45" s="23">
        <f t="shared" si="7"/>
        <v>0</v>
      </c>
      <c r="F45" s="23">
        <v>0</v>
      </c>
      <c r="G45" s="249">
        <v>0</v>
      </c>
      <c r="H45" s="23">
        <v>0</v>
      </c>
      <c r="I45" s="95">
        <v>0</v>
      </c>
      <c r="J45" s="95">
        <v>0</v>
      </c>
      <c r="K45" s="95">
        <v>0</v>
      </c>
      <c r="L45" s="82">
        <v>0</v>
      </c>
    </row>
    <row r="46" spans="1:13" ht="126" x14ac:dyDescent="0.25">
      <c r="A46" s="1" t="s">
        <v>3</v>
      </c>
      <c r="B46" s="5" t="s">
        <v>110</v>
      </c>
      <c r="C46" s="6" t="s">
        <v>36</v>
      </c>
      <c r="D46" s="6" t="s">
        <v>33</v>
      </c>
      <c r="E46" s="23">
        <f t="shared" si="7"/>
        <v>9390</v>
      </c>
      <c r="F46" s="23">
        <v>0</v>
      </c>
      <c r="G46" s="249">
        <v>0</v>
      </c>
      <c r="H46" s="22">
        <v>9390</v>
      </c>
      <c r="I46" s="95">
        <f>SUM(J46:L46)</f>
        <v>1004.88</v>
      </c>
      <c r="J46" s="95">
        <v>0</v>
      </c>
      <c r="K46" s="95">
        <v>0</v>
      </c>
      <c r="L46" s="82">
        <v>1004.88</v>
      </c>
    </row>
    <row r="47" spans="1:13" ht="47.25" x14ac:dyDescent="0.25">
      <c r="A47" s="1" t="s">
        <v>4</v>
      </c>
      <c r="B47" s="5" t="s">
        <v>111</v>
      </c>
      <c r="C47" s="6" t="s">
        <v>62</v>
      </c>
      <c r="D47" s="6" t="s">
        <v>33</v>
      </c>
      <c r="E47" s="23">
        <f t="shared" si="7"/>
        <v>0</v>
      </c>
      <c r="F47" s="23">
        <v>0</v>
      </c>
      <c r="G47" s="249">
        <v>0</v>
      </c>
      <c r="H47" s="23">
        <v>0</v>
      </c>
      <c r="I47" s="95">
        <f>SUM(J47:L47)</f>
        <v>0</v>
      </c>
      <c r="J47" s="95">
        <v>0</v>
      </c>
      <c r="K47" s="95">
        <v>0</v>
      </c>
      <c r="L47" s="82">
        <v>0</v>
      </c>
    </row>
    <row r="48" spans="1:13" s="37" customFormat="1" ht="63" x14ac:dyDescent="0.25">
      <c r="A48" s="40" t="s">
        <v>113</v>
      </c>
      <c r="B48" s="41" t="s">
        <v>112</v>
      </c>
      <c r="C48" s="11" t="s">
        <v>59</v>
      </c>
      <c r="D48" s="4" t="s">
        <v>33</v>
      </c>
      <c r="E48" s="39">
        <f t="shared" si="7"/>
        <v>67.8</v>
      </c>
      <c r="F48" s="39">
        <v>0</v>
      </c>
      <c r="G48" s="246">
        <v>67.8</v>
      </c>
      <c r="H48" s="39">
        <v>0</v>
      </c>
      <c r="I48" s="94">
        <f>SUM(J48:L48)</f>
        <v>2587.11</v>
      </c>
      <c r="J48" s="94">
        <v>42.08</v>
      </c>
      <c r="K48" s="94">
        <v>0</v>
      </c>
      <c r="L48" s="89">
        <v>2545.0300000000002</v>
      </c>
    </row>
    <row r="49" spans="1:13" s="37" customFormat="1" ht="94.5" x14ac:dyDescent="0.25">
      <c r="A49" s="40" t="s">
        <v>115</v>
      </c>
      <c r="B49" s="41" t="s">
        <v>114</v>
      </c>
      <c r="C49" s="11" t="s">
        <v>59</v>
      </c>
      <c r="D49" s="4" t="s">
        <v>33</v>
      </c>
      <c r="E49" s="20">
        <f t="shared" ref="E49:L49" si="8">E50+E54+E55</f>
        <v>1736.19</v>
      </c>
      <c r="F49" s="20">
        <f t="shared" si="8"/>
        <v>0</v>
      </c>
      <c r="G49" s="246">
        <f t="shared" si="8"/>
        <v>1736.19</v>
      </c>
      <c r="H49" s="20">
        <f t="shared" si="8"/>
        <v>0</v>
      </c>
      <c r="I49" s="94">
        <f t="shared" si="8"/>
        <v>6189.2900000000009</v>
      </c>
      <c r="J49" s="94">
        <f t="shared" si="8"/>
        <v>2596.4199999999996</v>
      </c>
      <c r="K49" s="94">
        <f t="shared" si="8"/>
        <v>1519.5500000000002</v>
      </c>
      <c r="L49" s="85">
        <f t="shared" si="8"/>
        <v>2073.3200000000002</v>
      </c>
    </row>
    <row r="50" spans="1:13" s="18" customFormat="1" ht="38.25" x14ac:dyDescent="0.25">
      <c r="A50" s="46"/>
      <c r="B50" s="47" t="s">
        <v>116</v>
      </c>
      <c r="C50" s="48" t="s">
        <v>59</v>
      </c>
      <c r="D50" s="13" t="s">
        <v>33</v>
      </c>
      <c r="E50" s="32">
        <f t="shared" ref="E50:L50" si="9">SUM(E51:E53)</f>
        <v>286.10000000000002</v>
      </c>
      <c r="F50" s="32">
        <f t="shared" si="9"/>
        <v>0</v>
      </c>
      <c r="G50" s="251">
        <f t="shared" si="9"/>
        <v>286.10000000000002</v>
      </c>
      <c r="H50" s="32">
        <f t="shared" si="9"/>
        <v>0</v>
      </c>
      <c r="I50" s="93">
        <f t="shared" si="9"/>
        <v>1344.6799999999998</v>
      </c>
      <c r="J50" s="93">
        <f t="shared" si="9"/>
        <v>0</v>
      </c>
      <c r="K50" s="93">
        <f t="shared" si="9"/>
        <v>286.10000000000002</v>
      </c>
      <c r="L50" s="87">
        <f t="shared" si="9"/>
        <v>1058.58</v>
      </c>
      <c r="M50" s="37"/>
    </row>
    <row r="51" spans="1:13" s="18" customFormat="1" ht="25.5" x14ac:dyDescent="0.25">
      <c r="A51" s="46"/>
      <c r="B51" s="47" t="s">
        <v>117</v>
      </c>
      <c r="C51" s="48" t="s">
        <v>59</v>
      </c>
      <c r="D51" s="13" t="s">
        <v>33</v>
      </c>
      <c r="E51" s="45">
        <f>SUM(F51:H51)</f>
        <v>22.66</v>
      </c>
      <c r="F51" s="45">
        <f>SUM(F52:F56)</f>
        <v>0</v>
      </c>
      <c r="G51" s="248">
        <v>22.66</v>
      </c>
      <c r="H51" s="45">
        <f>SUM(H52:H56)</f>
        <v>0</v>
      </c>
      <c r="I51" s="93">
        <f t="shared" ref="I51:I62" si="10">SUM(J51:L51)</f>
        <v>1081.24</v>
      </c>
      <c r="J51" s="93">
        <v>0</v>
      </c>
      <c r="K51" s="93">
        <v>22.66</v>
      </c>
      <c r="L51" s="93">
        <v>1058.58</v>
      </c>
      <c r="M51" s="37"/>
    </row>
    <row r="52" spans="1:13" s="18" customFormat="1" ht="25.5" x14ac:dyDescent="0.25">
      <c r="A52" s="46"/>
      <c r="B52" s="47" t="s">
        <v>118</v>
      </c>
      <c r="C52" s="48" t="s">
        <v>59</v>
      </c>
      <c r="D52" s="13" t="s">
        <v>33</v>
      </c>
      <c r="E52" s="45">
        <f>SUM(F52:H52)</f>
        <v>11.33</v>
      </c>
      <c r="F52" s="45">
        <f>SUM(F53:F57)</f>
        <v>0</v>
      </c>
      <c r="G52" s="248">
        <v>11.33</v>
      </c>
      <c r="H52" s="45">
        <f>SUM(H53:H57)</f>
        <v>0</v>
      </c>
      <c r="I52" s="93">
        <f t="shared" si="10"/>
        <v>11.33</v>
      </c>
      <c r="J52" s="93">
        <v>0</v>
      </c>
      <c r="K52" s="93">
        <v>11.33</v>
      </c>
      <c r="L52" s="93">
        <v>0</v>
      </c>
      <c r="M52" s="37"/>
    </row>
    <row r="53" spans="1:13" s="18" customFormat="1" ht="25.5" x14ac:dyDescent="0.25">
      <c r="A53" s="46"/>
      <c r="B53" s="47" t="s">
        <v>119</v>
      </c>
      <c r="C53" s="48" t="s">
        <v>59</v>
      </c>
      <c r="D53" s="13" t="s">
        <v>33</v>
      </c>
      <c r="E53" s="45">
        <f>SUM(F53:H53)</f>
        <v>252.11</v>
      </c>
      <c r="F53" s="45">
        <f>SUM(F54:F58)</f>
        <v>0</v>
      </c>
      <c r="G53" s="248">
        <v>252.11</v>
      </c>
      <c r="H53" s="45">
        <f>SUM(H54:H58)</f>
        <v>0</v>
      </c>
      <c r="I53" s="93">
        <f t="shared" si="10"/>
        <v>252.11</v>
      </c>
      <c r="J53" s="93"/>
      <c r="K53" s="93">
        <v>252.11</v>
      </c>
      <c r="L53" s="93">
        <v>0</v>
      </c>
    </row>
    <row r="54" spans="1:13" s="18" customFormat="1" ht="25.5" x14ac:dyDescent="0.25">
      <c r="A54" s="46"/>
      <c r="B54" s="47" t="s">
        <v>120</v>
      </c>
      <c r="C54" s="48" t="s">
        <v>59</v>
      </c>
      <c r="D54" s="13" t="s">
        <v>33</v>
      </c>
      <c r="E54" s="45">
        <f>SUM(F54:H54)</f>
        <v>1080.55</v>
      </c>
      <c r="F54" s="45">
        <f>SUM(F55:F59)</f>
        <v>0</v>
      </c>
      <c r="G54" s="248">
        <v>1080.55</v>
      </c>
      <c r="H54" s="45">
        <f>SUM(H55:H59)</f>
        <v>0</v>
      </c>
      <c r="I54" s="93">
        <f t="shared" si="10"/>
        <v>4553.9400000000005</v>
      </c>
      <c r="J54" s="93">
        <v>2510.1999999999998</v>
      </c>
      <c r="K54" s="93">
        <v>1080.55</v>
      </c>
      <c r="L54" s="93">
        <v>963.19</v>
      </c>
    </row>
    <row r="55" spans="1:13" s="18" customFormat="1" ht="25.5" x14ac:dyDescent="0.25">
      <c r="A55" s="46"/>
      <c r="B55" s="47" t="s">
        <v>121</v>
      </c>
      <c r="C55" s="48" t="s">
        <v>59</v>
      </c>
      <c r="D55" s="13" t="s">
        <v>33</v>
      </c>
      <c r="E55" s="45">
        <f>SUM(F55:H55)</f>
        <v>369.54</v>
      </c>
      <c r="F55" s="45">
        <f>SUM(F56:F60)</f>
        <v>0</v>
      </c>
      <c r="G55" s="248">
        <v>369.54</v>
      </c>
      <c r="H55" s="45">
        <f>SUM(H56:H60)</f>
        <v>0</v>
      </c>
      <c r="I55" s="93">
        <f t="shared" si="10"/>
        <v>290.67</v>
      </c>
      <c r="J55" s="93">
        <v>86.22</v>
      </c>
      <c r="K55" s="93">
        <v>152.9</v>
      </c>
      <c r="L55" s="93">
        <v>51.55</v>
      </c>
    </row>
    <row r="56" spans="1:13" s="37" customFormat="1" ht="47.25" x14ac:dyDescent="0.25">
      <c r="A56" s="40" t="s">
        <v>122</v>
      </c>
      <c r="B56" s="41" t="s">
        <v>123</v>
      </c>
      <c r="C56" s="11" t="s">
        <v>59</v>
      </c>
      <c r="D56" s="4" t="s">
        <v>33</v>
      </c>
      <c r="E56" s="56">
        <f t="shared" ref="E56:K56" si="11">SUM(E57,E62)</f>
        <v>784.97</v>
      </c>
      <c r="F56" s="56">
        <f t="shared" si="11"/>
        <v>0</v>
      </c>
      <c r="G56" s="246">
        <f t="shared" si="11"/>
        <v>784.97</v>
      </c>
      <c r="H56" s="56">
        <f t="shared" si="11"/>
        <v>0</v>
      </c>
      <c r="I56" s="94">
        <f t="shared" si="10"/>
        <v>3078.3110899999997</v>
      </c>
      <c r="J56" s="94">
        <f t="shared" si="11"/>
        <v>0</v>
      </c>
      <c r="K56" s="94">
        <f t="shared" si="11"/>
        <v>0</v>
      </c>
      <c r="L56" s="94">
        <f>L57+L62</f>
        <v>3078.3110899999997</v>
      </c>
    </row>
    <row r="57" spans="1:13" ht="25.5" x14ac:dyDescent="0.25">
      <c r="A57" s="14"/>
      <c r="B57" s="47" t="s">
        <v>183</v>
      </c>
      <c r="C57" s="48" t="s">
        <v>59</v>
      </c>
      <c r="D57" s="13" t="s">
        <v>33</v>
      </c>
      <c r="E57" s="57">
        <f t="shared" ref="E57:K57" si="12">SUM(E58:E61)</f>
        <v>88.5</v>
      </c>
      <c r="F57" s="57">
        <f t="shared" si="12"/>
        <v>0</v>
      </c>
      <c r="G57" s="249">
        <f t="shared" si="12"/>
        <v>88.5</v>
      </c>
      <c r="H57" s="57">
        <f t="shared" si="12"/>
        <v>0</v>
      </c>
      <c r="I57" s="95">
        <f t="shared" si="10"/>
        <v>355.2</v>
      </c>
      <c r="J57" s="95">
        <f t="shared" si="12"/>
        <v>0</v>
      </c>
      <c r="K57" s="95">
        <f t="shared" si="12"/>
        <v>0</v>
      </c>
      <c r="L57" s="95">
        <v>355.2</v>
      </c>
    </row>
    <row r="58" spans="1:13" ht="25.5" x14ac:dyDescent="0.25">
      <c r="A58" s="14"/>
      <c r="B58" s="47" t="s">
        <v>124</v>
      </c>
      <c r="C58" s="48" t="s">
        <v>59</v>
      </c>
      <c r="D58" s="13" t="s">
        <v>33</v>
      </c>
      <c r="E58" s="57">
        <f t="shared" ref="E58:E63" si="13">SUM(F58:H58)</f>
        <v>0</v>
      </c>
      <c r="F58" s="57">
        <v>0</v>
      </c>
      <c r="G58" s="249"/>
      <c r="H58" s="57">
        <v>0</v>
      </c>
      <c r="I58" s="95">
        <f t="shared" si="10"/>
        <v>0</v>
      </c>
      <c r="J58" s="95">
        <v>0</v>
      </c>
      <c r="K58" s="95">
        <v>0</v>
      </c>
      <c r="L58" s="95">
        <v>0</v>
      </c>
    </row>
    <row r="59" spans="1:13" ht="25.5" x14ac:dyDescent="0.25">
      <c r="A59" s="14"/>
      <c r="B59" s="47" t="s">
        <v>125</v>
      </c>
      <c r="C59" s="48" t="s">
        <v>59</v>
      </c>
      <c r="D59" s="13" t="s">
        <v>33</v>
      </c>
      <c r="E59" s="57">
        <f t="shared" si="13"/>
        <v>0</v>
      </c>
      <c r="F59" s="57">
        <v>0</v>
      </c>
      <c r="G59" s="249"/>
      <c r="H59" s="57">
        <v>0</v>
      </c>
      <c r="I59" s="95">
        <f t="shared" si="10"/>
        <v>0</v>
      </c>
      <c r="J59" s="95">
        <v>0</v>
      </c>
      <c r="K59" s="95">
        <v>0</v>
      </c>
      <c r="L59" s="95">
        <v>0</v>
      </c>
    </row>
    <row r="60" spans="1:13" ht="25.5" x14ac:dyDescent="0.25">
      <c r="A60" s="14"/>
      <c r="B60" s="47" t="s">
        <v>126</v>
      </c>
      <c r="C60" s="48" t="s">
        <v>59</v>
      </c>
      <c r="D60" s="13" t="s">
        <v>33</v>
      </c>
      <c r="E60" s="57">
        <f t="shared" si="13"/>
        <v>40.5</v>
      </c>
      <c r="F60" s="57">
        <v>0</v>
      </c>
      <c r="G60" s="249">
        <v>40.5</v>
      </c>
      <c r="H60" s="57">
        <v>0</v>
      </c>
      <c r="I60" s="95">
        <f t="shared" si="10"/>
        <v>0</v>
      </c>
      <c r="J60" s="95">
        <v>0</v>
      </c>
      <c r="K60" s="95">
        <v>0</v>
      </c>
      <c r="L60" s="95">
        <v>0</v>
      </c>
    </row>
    <row r="61" spans="1:13" ht="25.5" x14ac:dyDescent="0.25">
      <c r="A61" s="14"/>
      <c r="B61" s="47" t="s">
        <v>127</v>
      </c>
      <c r="C61" s="48" t="s">
        <v>59</v>
      </c>
      <c r="D61" s="13" t="s">
        <v>33</v>
      </c>
      <c r="E61" s="57">
        <f t="shared" si="13"/>
        <v>48</v>
      </c>
      <c r="F61" s="57">
        <v>0</v>
      </c>
      <c r="G61" s="249">
        <v>48</v>
      </c>
      <c r="H61" s="57">
        <v>0</v>
      </c>
      <c r="I61" s="95">
        <f t="shared" si="10"/>
        <v>0</v>
      </c>
      <c r="J61" s="95">
        <v>0</v>
      </c>
      <c r="K61" s="95">
        <v>0</v>
      </c>
      <c r="L61" s="95">
        <v>0</v>
      </c>
    </row>
    <row r="62" spans="1:13" ht="25.5" x14ac:dyDescent="0.25">
      <c r="A62" s="14"/>
      <c r="B62" s="47" t="s">
        <v>128</v>
      </c>
      <c r="C62" s="48" t="s">
        <v>59</v>
      </c>
      <c r="D62" s="13" t="s">
        <v>33</v>
      </c>
      <c r="E62" s="57">
        <f t="shared" si="13"/>
        <v>696.47</v>
      </c>
      <c r="F62" s="22">
        <v>0</v>
      </c>
      <c r="G62" s="249">
        <v>696.47</v>
      </c>
      <c r="H62" s="22">
        <v>0</v>
      </c>
      <c r="I62" s="95">
        <f t="shared" si="10"/>
        <v>2723.1110899999999</v>
      </c>
      <c r="J62" s="95">
        <v>0</v>
      </c>
      <c r="K62" s="95">
        <v>0</v>
      </c>
      <c r="L62" s="91">
        <v>2723.1110899999999</v>
      </c>
    </row>
    <row r="63" spans="1:13" s="37" customFormat="1" ht="94.5" x14ac:dyDescent="0.25">
      <c r="A63" s="40" t="s">
        <v>130</v>
      </c>
      <c r="B63" s="41" t="s">
        <v>129</v>
      </c>
      <c r="C63" s="11" t="s">
        <v>59</v>
      </c>
      <c r="D63" s="4" t="s">
        <v>33</v>
      </c>
      <c r="E63" s="39">
        <f t="shared" si="13"/>
        <v>225</v>
      </c>
      <c r="F63" s="39">
        <v>0</v>
      </c>
      <c r="G63" s="246">
        <v>0</v>
      </c>
      <c r="H63" s="39">
        <v>225</v>
      </c>
      <c r="I63" s="94">
        <v>0</v>
      </c>
      <c r="J63" s="94">
        <v>0</v>
      </c>
      <c r="K63" s="94">
        <v>0</v>
      </c>
      <c r="L63" s="89">
        <v>0</v>
      </c>
    </row>
    <row r="64" spans="1:13" ht="31.5" x14ac:dyDescent="0.25">
      <c r="A64" s="15" t="s">
        <v>132</v>
      </c>
      <c r="B64" s="10" t="s">
        <v>131</v>
      </c>
      <c r="C64" s="9" t="s">
        <v>59</v>
      </c>
      <c r="D64" s="6" t="s">
        <v>33</v>
      </c>
      <c r="E64" s="21"/>
      <c r="F64" s="21"/>
      <c r="G64" s="250"/>
      <c r="H64" s="21"/>
      <c r="I64" s="110"/>
      <c r="J64" s="110"/>
      <c r="K64" s="110"/>
      <c r="L64" s="96"/>
    </row>
    <row r="65" spans="1:12" s="37" customFormat="1" ht="78.75" x14ac:dyDescent="0.25">
      <c r="A65" s="40" t="s">
        <v>135</v>
      </c>
      <c r="B65" s="41" t="s">
        <v>133</v>
      </c>
      <c r="C65" s="11" t="s">
        <v>99</v>
      </c>
      <c r="D65" s="4" t="s">
        <v>33</v>
      </c>
      <c r="E65" s="39">
        <f t="shared" ref="E65:L65" si="14">SUM(E66:E69)</f>
        <v>153151.63</v>
      </c>
      <c r="F65" s="39">
        <f t="shared" si="14"/>
        <v>58704</v>
      </c>
      <c r="G65" s="246">
        <f t="shared" si="14"/>
        <v>0</v>
      </c>
      <c r="H65" s="39">
        <f t="shared" si="14"/>
        <v>94447.63</v>
      </c>
      <c r="I65" s="94">
        <f t="shared" si="14"/>
        <v>55769.11</v>
      </c>
      <c r="J65" s="94">
        <f t="shared" si="14"/>
        <v>17822.3</v>
      </c>
      <c r="K65" s="94">
        <f t="shared" si="14"/>
        <v>0</v>
      </c>
      <c r="L65" s="89">
        <f t="shared" si="14"/>
        <v>37946.81</v>
      </c>
    </row>
    <row r="66" spans="1:12" s="18" customFormat="1" ht="88.5" customHeight="1" x14ac:dyDescent="0.25">
      <c r="A66" s="46"/>
      <c r="B66" s="47" t="s">
        <v>134</v>
      </c>
      <c r="C66" s="48" t="s">
        <v>59</v>
      </c>
      <c r="D66" s="13" t="s">
        <v>33</v>
      </c>
      <c r="E66" s="32">
        <f>SUM(F66:H66)</f>
        <v>152448</v>
      </c>
      <c r="F66" s="32">
        <v>58704</v>
      </c>
      <c r="G66" s="248">
        <v>0</v>
      </c>
      <c r="H66" s="32">
        <v>93744</v>
      </c>
      <c r="I66" s="93">
        <f>SUM(J66:L66)</f>
        <v>55769.11</v>
      </c>
      <c r="J66" s="93">
        <v>17822.3</v>
      </c>
      <c r="K66" s="93">
        <v>0</v>
      </c>
      <c r="L66" s="87">
        <v>37946.81</v>
      </c>
    </row>
    <row r="67" spans="1:12" s="18" customFormat="1" ht="51" x14ac:dyDescent="0.25">
      <c r="A67" s="49"/>
      <c r="B67" s="29" t="s">
        <v>136</v>
      </c>
      <c r="C67" s="13" t="s">
        <v>99</v>
      </c>
      <c r="D67" s="13" t="s">
        <v>33</v>
      </c>
      <c r="E67" s="32">
        <f>SUM(F67:H67)</f>
        <v>0</v>
      </c>
      <c r="F67" s="33">
        <v>0</v>
      </c>
      <c r="G67" s="248">
        <v>0</v>
      </c>
      <c r="H67" s="33">
        <v>0</v>
      </c>
      <c r="I67" s="93">
        <f>SUM(J67:L67)</f>
        <v>0</v>
      </c>
      <c r="J67" s="93">
        <v>0</v>
      </c>
      <c r="K67" s="93">
        <v>0</v>
      </c>
      <c r="L67" s="86">
        <v>0</v>
      </c>
    </row>
    <row r="68" spans="1:12" s="18" customFormat="1" ht="51" x14ac:dyDescent="0.25">
      <c r="A68" s="34"/>
      <c r="B68" s="29" t="s">
        <v>137</v>
      </c>
      <c r="C68" s="13" t="s">
        <v>99</v>
      </c>
      <c r="D68" s="13" t="s">
        <v>33</v>
      </c>
      <c r="E68" s="32">
        <f>SUM(F68:H68)</f>
        <v>0</v>
      </c>
      <c r="F68" s="33">
        <v>0</v>
      </c>
      <c r="G68" s="248">
        <v>0</v>
      </c>
      <c r="H68" s="33">
        <v>0</v>
      </c>
      <c r="I68" s="93">
        <f>SUM(J68:L68)</f>
        <v>0</v>
      </c>
      <c r="J68" s="93">
        <v>0</v>
      </c>
      <c r="K68" s="93">
        <v>0</v>
      </c>
      <c r="L68" s="86">
        <v>0</v>
      </c>
    </row>
    <row r="69" spans="1:12" s="18" customFormat="1" ht="102" x14ac:dyDescent="0.25">
      <c r="A69" s="46"/>
      <c r="B69" s="47" t="s">
        <v>138</v>
      </c>
      <c r="C69" s="48" t="s">
        <v>99</v>
      </c>
      <c r="D69" s="13" t="s">
        <v>33</v>
      </c>
      <c r="E69" s="32">
        <f>SUM(F69:H69)</f>
        <v>703.63</v>
      </c>
      <c r="F69" s="32">
        <v>0</v>
      </c>
      <c r="G69" s="248">
        <v>0</v>
      </c>
      <c r="H69" s="32">
        <v>703.63</v>
      </c>
      <c r="I69" s="93">
        <f>SUM(J69:L69)</f>
        <v>0</v>
      </c>
      <c r="J69" s="93">
        <v>0</v>
      </c>
      <c r="K69" s="93">
        <v>0</v>
      </c>
      <c r="L69" s="87">
        <v>0</v>
      </c>
    </row>
    <row r="70" spans="1:12" s="37" customFormat="1" ht="78.75" x14ac:dyDescent="0.25">
      <c r="A70" s="40" t="s">
        <v>140</v>
      </c>
      <c r="B70" s="41" t="s">
        <v>139</v>
      </c>
      <c r="C70" s="11" t="s">
        <v>99</v>
      </c>
      <c r="D70" s="4" t="s">
        <v>33</v>
      </c>
      <c r="E70" s="60">
        <f t="shared" ref="E70:L70" si="15">E71</f>
        <v>500</v>
      </c>
      <c r="F70" s="39">
        <f t="shared" si="15"/>
        <v>0</v>
      </c>
      <c r="G70" s="246">
        <f t="shared" si="15"/>
        <v>150</v>
      </c>
      <c r="H70" s="39">
        <f t="shared" si="15"/>
        <v>350</v>
      </c>
      <c r="I70" s="94">
        <f t="shared" si="15"/>
        <v>0</v>
      </c>
      <c r="J70" s="94">
        <f t="shared" si="15"/>
        <v>0</v>
      </c>
      <c r="K70" s="94">
        <f t="shared" si="15"/>
        <v>0</v>
      </c>
      <c r="L70" s="89">
        <f t="shared" si="15"/>
        <v>0</v>
      </c>
    </row>
    <row r="71" spans="1:12" s="18" customFormat="1" ht="76.5" x14ac:dyDescent="0.25">
      <c r="A71" s="46"/>
      <c r="B71" s="47" t="s">
        <v>141</v>
      </c>
      <c r="C71" s="48" t="s">
        <v>99</v>
      </c>
      <c r="D71" s="13" t="s">
        <v>33</v>
      </c>
      <c r="E71" s="32">
        <f>SUM(F71:H71)</f>
        <v>500</v>
      </c>
      <c r="F71" s="32">
        <v>0</v>
      </c>
      <c r="G71" s="248">
        <v>150</v>
      </c>
      <c r="H71" s="32">
        <v>350</v>
      </c>
      <c r="I71" s="93">
        <f>SUM(J71:L71)</f>
        <v>0</v>
      </c>
      <c r="J71" s="93">
        <v>0</v>
      </c>
      <c r="K71" s="93">
        <v>0</v>
      </c>
      <c r="L71" s="87">
        <v>0</v>
      </c>
    </row>
    <row r="72" spans="1:12" s="37" customFormat="1" ht="78.75" x14ac:dyDescent="0.25">
      <c r="A72" s="40" t="s">
        <v>143</v>
      </c>
      <c r="B72" s="41" t="s">
        <v>142</v>
      </c>
      <c r="C72" s="11" t="s">
        <v>99</v>
      </c>
      <c r="D72" s="4" t="s">
        <v>33</v>
      </c>
      <c r="E72" s="39">
        <f t="shared" ref="E72:L72" si="16">SUM(E73:E75)</f>
        <v>403.75</v>
      </c>
      <c r="F72" s="39">
        <f t="shared" si="16"/>
        <v>0</v>
      </c>
      <c r="G72" s="246">
        <f t="shared" si="16"/>
        <v>0</v>
      </c>
      <c r="H72" s="39">
        <f t="shared" si="16"/>
        <v>403.75</v>
      </c>
      <c r="I72" s="94">
        <f t="shared" si="16"/>
        <v>0</v>
      </c>
      <c r="J72" s="94">
        <f t="shared" si="16"/>
        <v>0</v>
      </c>
      <c r="K72" s="94">
        <f t="shared" si="16"/>
        <v>0</v>
      </c>
      <c r="L72" s="89">
        <f t="shared" si="16"/>
        <v>0</v>
      </c>
    </row>
    <row r="73" spans="1:12" s="18" customFormat="1" ht="51" x14ac:dyDescent="0.25">
      <c r="A73" s="46"/>
      <c r="B73" s="47" t="s">
        <v>144</v>
      </c>
      <c r="C73" s="48" t="s">
        <v>99</v>
      </c>
      <c r="D73" s="13" t="s">
        <v>33</v>
      </c>
      <c r="E73" s="32">
        <f>SUM(F73:H73)</f>
        <v>135</v>
      </c>
      <c r="F73" s="32">
        <v>0</v>
      </c>
      <c r="G73" s="248">
        <v>0</v>
      </c>
      <c r="H73" s="32">
        <v>135</v>
      </c>
      <c r="I73" s="93">
        <f>SUM(J73:L73)</f>
        <v>0</v>
      </c>
      <c r="J73" s="93">
        <v>0</v>
      </c>
      <c r="K73" s="93">
        <v>0</v>
      </c>
      <c r="L73" s="87">
        <v>0</v>
      </c>
    </row>
    <row r="74" spans="1:12" s="18" customFormat="1" ht="51" x14ac:dyDescent="0.25">
      <c r="A74" s="46"/>
      <c r="B74" s="47" t="s">
        <v>145</v>
      </c>
      <c r="C74" s="48" t="s">
        <v>99</v>
      </c>
      <c r="D74" s="13" t="s">
        <v>33</v>
      </c>
      <c r="E74" s="32">
        <f>SUM(F74:H74)</f>
        <v>178.75</v>
      </c>
      <c r="F74" s="32">
        <v>0</v>
      </c>
      <c r="G74" s="248">
        <v>0</v>
      </c>
      <c r="H74" s="32">
        <v>178.75</v>
      </c>
      <c r="I74" s="93">
        <f>SUM(J74:L74)</f>
        <v>0</v>
      </c>
      <c r="J74" s="93">
        <v>0</v>
      </c>
      <c r="K74" s="93">
        <v>0</v>
      </c>
      <c r="L74" s="87">
        <v>0</v>
      </c>
    </row>
    <row r="75" spans="1:12" s="18" customFormat="1" ht="51" x14ac:dyDescent="0.25">
      <c r="A75" s="34"/>
      <c r="B75" s="47" t="s">
        <v>146</v>
      </c>
      <c r="C75" s="48" t="s">
        <v>99</v>
      </c>
      <c r="D75" s="13" t="s">
        <v>33</v>
      </c>
      <c r="E75" s="32">
        <f>SUM(F75:H75)</f>
        <v>90</v>
      </c>
      <c r="F75" s="32">
        <v>0</v>
      </c>
      <c r="G75" s="248">
        <v>0</v>
      </c>
      <c r="H75" s="32">
        <v>90</v>
      </c>
      <c r="I75" s="93">
        <f>SUM(J75:L75)</f>
        <v>0</v>
      </c>
      <c r="J75" s="93">
        <v>0</v>
      </c>
      <c r="K75" s="93">
        <v>0</v>
      </c>
      <c r="L75" s="87">
        <v>0</v>
      </c>
    </row>
    <row r="76" spans="1:12" s="37" customFormat="1" ht="94.5" x14ac:dyDescent="0.25">
      <c r="A76" s="3" t="s">
        <v>148</v>
      </c>
      <c r="B76" s="38" t="s">
        <v>147</v>
      </c>
      <c r="C76" s="4" t="s">
        <v>62</v>
      </c>
      <c r="D76" s="4" t="s">
        <v>33</v>
      </c>
      <c r="E76" s="20">
        <v>0</v>
      </c>
      <c r="F76" s="20">
        <v>0</v>
      </c>
      <c r="G76" s="246">
        <v>0</v>
      </c>
      <c r="H76" s="20">
        <v>0</v>
      </c>
      <c r="I76" s="94">
        <v>0</v>
      </c>
      <c r="J76" s="94">
        <v>0</v>
      </c>
      <c r="K76" s="94">
        <v>0</v>
      </c>
      <c r="L76" s="85">
        <v>0</v>
      </c>
    </row>
    <row r="77" spans="1:12" s="37" customFormat="1" ht="63" x14ac:dyDescent="0.25">
      <c r="A77" s="3" t="s">
        <v>150</v>
      </c>
      <c r="B77" s="38" t="s">
        <v>149</v>
      </c>
      <c r="C77" s="4" t="s">
        <v>62</v>
      </c>
      <c r="D77" s="4" t="s">
        <v>33</v>
      </c>
      <c r="E77" s="20">
        <v>0</v>
      </c>
      <c r="F77" s="20">
        <v>0</v>
      </c>
      <c r="G77" s="246">
        <v>0</v>
      </c>
      <c r="H77" s="20">
        <v>0</v>
      </c>
      <c r="I77" s="94">
        <v>0</v>
      </c>
      <c r="J77" s="94">
        <v>0</v>
      </c>
      <c r="K77" s="94">
        <v>0</v>
      </c>
      <c r="L77" s="85">
        <v>0</v>
      </c>
    </row>
    <row r="78" spans="1:12" s="37" customFormat="1" ht="110.25" x14ac:dyDescent="0.25">
      <c r="A78" s="40" t="s">
        <v>152</v>
      </c>
      <c r="B78" s="41" t="s">
        <v>151</v>
      </c>
      <c r="C78" s="11" t="s">
        <v>153</v>
      </c>
      <c r="D78" s="11">
        <v>2017</v>
      </c>
      <c r="E78" s="39">
        <f>SUM(F78:H78)</f>
        <v>4522.8100000000004</v>
      </c>
      <c r="F78" s="39">
        <v>0</v>
      </c>
      <c r="G78" s="246">
        <v>181.81</v>
      </c>
      <c r="H78" s="39">
        <v>4341</v>
      </c>
      <c r="I78" s="94">
        <f>SUM(J78:L78)</f>
        <v>6604.66</v>
      </c>
      <c r="J78" s="94">
        <v>0</v>
      </c>
      <c r="K78" s="94">
        <v>0</v>
      </c>
      <c r="L78" s="89">
        <v>6604.66</v>
      </c>
    </row>
    <row r="79" spans="1:12" s="54" customFormat="1" ht="63" x14ac:dyDescent="0.25">
      <c r="A79" s="16" t="s">
        <v>155</v>
      </c>
      <c r="B79" s="8" t="s">
        <v>154</v>
      </c>
      <c r="C79" s="53"/>
      <c r="D79" s="53"/>
      <c r="E79" s="42"/>
      <c r="F79" s="42"/>
      <c r="G79" s="252"/>
      <c r="H79" s="42"/>
      <c r="I79" s="111"/>
      <c r="J79" s="111"/>
      <c r="K79" s="111"/>
      <c r="L79" s="97"/>
    </row>
    <row r="80" spans="1:12" s="37" customFormat="1" ht="47.25" x14ac:dyDescent="0.25">
      <c r="A80" s="40" t="s">
        <v>157</v>
      </c>
      <c r="B80" s="41" t="s">
        <v>156</v>
      </c>
      <c r="C80" s="55" t="s">
        <v>59</v>
      </c>
      <c r="D80" s="55" t="s">
        <v>33</v>
      </c>
      <c r="E80" s="56">
        <f>SUM(F80:H80)</f>
        <v>31680.719999999998</v>
      </c>
      <c r="F80" s="56">
        <v>24661.1</v>
      </c>
      <c r="G80" s="246">
        <v>7019.62</v>
      </c>
      <c r="H80" s="56">
        <v>0</v>
      </c>
      <c r="I80" s="94">
        <f>SUM(J80:L80)</f>
        <v>7607.8799999999992</v>
      </c>
      <c r="J80" s="94">
        <v>3209.85</v>
      </c>
      <c r="K80" s="94">
        <v>0</v>
      </c>
      <c r="L80" s="94">
        <v>4398.03</v>
      </c>
    </row>
    <row r="81" spans="1:12" s="37" customFormat="1" ht="141.75" x14ac:dyDescent="0.25">
      <c r="A81" s="3" t="s">
        <v>159</v>
      </c>
      <c r="B81" s="38" t="s">
        <v>158</v>
      </c>
      <c r="C81" s="4" t="s">
        <v>153</v>
      </c>
      <c r="D81" s="4" t="s">
        <v>33</v>
      </c>
      <c r="E81" s="39">
        <f>SUM(F81:H81)</f>
        <v>0</v>
      </c>
      <c r="F81" s="20">
        <v>0</v>
      </c>
      <c r="G81" s="246">
        <v>0</v>
      </c>
      <c r="H81" s="20">
        <v>0</v>
      </c>
      <c r="I81" s="94">
        <v>0</v>
      </c>
      <c r="J81" s="94">
        <v>0</v>
      </c>
      <c r="K81" s="94">
        <v>0</v>
      </c>
      <c r="L81" s="85">
        <v>0</v>
      </c>
    </row>
    <row r="82" spans="1:12" s="37" customFormat="1" ht="110.25" x14ac:dyDescent="0.25">
      <c r="A82" s="40" t="s">
        <v>161</v>
      </c>
      <c r="B82" s="41" t="s">
        <v>160</v>
      </c>
      <c r="C82" s="11" t="s">
        <v>62</v>
      </c>
      <c r="D82" s="4" t="s">
        <v>33</v>
      </c>
      <c r="E82" s="39">
        <f>SUM(F82:H82)</f>
        <v>288</v>
      </c>
      <c r="F82" s="20">
        <v>0</v>
      </c>
      <c r="G82" s="246">
        <v>0</v>
      </c>
      <c r="H82" s="39">
        <v>288</v>
      </c>
      <c r="I82" s="94">
        <f>SUM(J82:L82)</f>
        <v>0</v>
      </c>
      <c r="J82" s="94">
        <v>0</v>
      </c>
      <c r="K82" s="94">
        <v>0</v>
      </c>
      <c r="L82" s="89">
        <v>0</v>
      </c>
    </row>
    <row r="83" spans="1:12" s="54" customFormat="1" ht="47.25" x14ac:dyDescent="0.25">
      <c r="A83" s="16" t="s">
        <v>163</v>
      </c>
      <c r="B83" s="8" t="s">
        <v>162</v>
      </c>
      <c r="C83" s="53"/>
      <c r="D83" s="53"/>
      <c r="E83" s="42"/>
      <c r="F83" s="42"/>
      <c r="G83" s="252"/>
      <c r="H83" s="42"/>
      <c r="I83" s="111"/>
      <c r="J83" s="111"/>
      <c r="K83" s="111"/>
      <c r="L83" s="97"/>
    </row>
    <row r="84" spans="1:12" s="37" customFormat="1" ht="63" x14ac:dyDescent="0.25">
      <c r="A84" s="3" t="s">
        <v>165</v>
      </c>
      <c r="B84" s="38" t="s">
        <v>164</v>
      </c>
      <c r="C84" s="4" t="s">
        <v>166</v>
      </c>
      <c r="D84" s="4" t="s">
        <v>33</v>
      </c>
      <c r="E84" s="20">
        <v>0</v>
      </c>
      <c r="F84" s="20">
        <v>0</v>
      </c>
      <c r="G84" s="246">
        <v>0</v>
      </c>
      <c r="H84" s="20">
        <v>0</v>
      </c>
      <c r="I84" s="94">
        <v>0</v>
      </c>
      <c r="J84" s="94">
        <v>0</v>
      </c>
      <c r="K84" s="94">
        <v>0</v>
      </c>
      <c r="L84" s="85">
        <v>0</v>
      </c>
    </row>
    <row r="85" spans="1:12" s="37" customFormat="1" ht="94.5" x14ac:dyDescent="0.25">
      <c r="A85" s="3" t="s">
        <v>168</v>
      </c>
      <c r="B85" s="38" t="s">
        <v>167</v>
      </c>
      <c r="C85" s="4" t="s">
        <v>62</v>
      </c>
      <c r="D85" s="4" t="s">
        <v>33</v>
      </c>
      <c r="E85" s="20">
        <v>0</v>
      </c>
      <c r="F85" s="20">
        <v>0</v>
      </c>
      <c r="G85" s="246">
        <v>0</v>
      </c>
      <c r="H85" s="20">
        <v>0</v>
      </c>
      <c r="I85" s="94">
        <v>0</v>
      </c>
      <c r="J85" s="94">
        <v>0</v>
      </c>
      <c r="K85" s="94">
        <v>0</v>
      </c>
      <c r="L85" s="85">
        <v>0</v>
      </c>
    </row>
    <row r="86" spans="1:12" s="52" customFormat="1" ht="38.25" x14ac:dyDescent="0.25">
      <c r="A86" s="49"/>
      <c r="B86" s="29" t="s">
        <v>169</v>
      </c>
      <c r="C86" s="13" t="s">
        <v>62</v>
      </c>
      <c r="D86" s="13" t="s">
        <v>33</v>
      </c>
      <c r="E86" s="33">
        <v>0</v>
      </c>
      <c r="F86" s="33">
        <v>0</v>
      </c>
      <c r="G86" s="248">
        <v>0</v>
      </c>
      <c r="H86" s="33">
        <v>0</v>
      </c>
      <c r="I86" s="93">
        <v>0</v>
      </c>
      <c r="J86" s="93">
        <v>0</v>
      </c>
      <c r="K86" s="93">
        <v>0</v>
      </c>
      <c r="L86" s="86">
        <v>0</v>
      </c>
    </row>
    <row r="87" spans="1:12" s="52" customFormat="1" ht="25.5" x14ac:dyDescent="0.25">
      <c r="A87" s="49"/>
      <c r="B87" s="29" t="s">
        <v>170</v>
      </c>
      <c r="C87" s="13" t="s">
        <v>62</v>
      </c>
      <c r="D87" s="13" t="s">
        <v>33</v>
      </c>
      <c r="E87" s="33">
        <v>0</v>
      </c>
      <c r="F87" s="33">
        <v>0</v>
      </c>
      <c r="G87" s="248">
        <v>0</v>
      </c>
      <c r="H87" s="33">
        <v>0</v>
      </c>
      <c r="I87" s="93">
        <v>0</v>
      </c>
      <c r="J87" s="93">
        <v>0</v>
      </c>
      <c r="K87" s="93">
        <v>0</v>
      </c>
      <c r="L87" s="86">
        <v>0</v>
      </c>
    </row>
    <row r="88" spans="1:12" s="52" customFormat="1" ht="38.25" x14ac:dyDescent="0.25">
      <c r="A88" s="49"/>
      <c r="B88" s="29" t="s">
        <v>171</v>
      </c>
      <c r="C88" s="13" t="s">
        <v>62</v>
      </c>
      <c r="D88" s="13" t="s">
        <v>33</v>
      </c>
      <c r="E88" s="33">
        <v>0</v>
      </c>
      <c r="F88" s="33">
        <v>0</v>
      </c>
      <c r="G88" s="248">
        <v>0</v>
      </c>
      <c r="H88" s="33">
        <v>0</v>
      </c>
      <c r="I88" s="93">
        <v>0</v>
      </c>
      <c r="J88" s="93">
        <v>0</v>
      </c>
      <c r="K88" s="93">
        <v>0</v>
      </c>
      <c r="L88" s="86">
        <v>0</v>
      </c>
    </row>
    <row r="89" spans="1:12" s="52" customFormat="1" ht="51" x14ac:dyDescent="0.25">
      <c r="A89" s="49"/>
      <c r="B89" s="29" t="s">
        <v>172</v>
      </c>
      <c r="C89" s="13" t="s">
        <v>173</v>
      </c>
      <c r="D89" s="13" t="s">
        <v>33</v>
      </c>
      <c r="E89" s="33">
        <v>0</v>
      </c>
      <c r="F89" s="33">
        <v>0</v>
      </c>
      <c r="G89" s="248">
        <v>0</v>
      </c>
      <c r="H89" s="33">
        <v>0</v>
      </c>
      <c r="I89" s="93">
        <v>0</v>
      </c>
      <c r="J89" s="93">
        <v>0</v>
      </c>
      <c r="K89" s="93">
        <v>0</v>
      </c>
      <c r="L89" s="86">
        <v>0</v>
      </c>
    </row>
    <row r="90" spans="1:12" s="37" customFormat="1" ht="133.5" customHeight="1" x14ac:dyDescent="0.25">
      <c r="A90" s="3" t="s">
        <v>175</v>
      </c>
      <c r="B90" s="38" t="s">
        <v>174</v>
      </c>
      <c r="C90" s="4" t="s">
        <v>176</v>
      </c>
      <c r="D90" s="4" t="s">
        <v>33</v>
      </c>
      <c r="E90" s="20">
        <v>0</v>
      </c>
      <c r="F90" s="20">
        <v>0</v>
      </c>
      <c r="G90" s="246">
        <v>0</v>
      </c>
      <c r="H90" s="20">
        <v>0</v>
      </c>
      <c r="I90" s="94">
        <v>0</v>
      </c>
      <c r="J90" s="94">
        <v>0</v>
      </c>
      <c r="K90" s="94">
        <v>0</v>
      </c>
      <c r="L90" s="85">
        <v>0</v>
      </c>
    </row>
    <row r="91" spans="1:12" s="37" customFormat="1" ht="94.5" x14ac:dyDescent="0.25">
      <c r="A91" s="3" t="s">
        <v>178</v>
      </c>
      <c r="B91" s="38" t="s">
        <v>177</v>
      </c>
      <c r="C91" s="4"/>
      <c r="D91" s="4" t="s">
        <v>33</v>
      </c>
      <c r="E91" s="20">
        <v>0</v>
      </c>
      <c r="F91" s="20">
        <v>0</v>
      </c>
      <c r="G91" s="246">
        <v>0</v>
      </c>
      <c r="H91" s="20">
        <v>0</v>
      </c>
      <c r="I91" s="94">
        <v>0</v>
      </c>
      <c r="J91" s="94">
        <v>0</v>
      </c>
      <c r="K91" s="94">
        <v>0</v>
      </c>
      <c r="L91" s="85">
        <v>0</v>
      </c>
    </row>
    <row r="92" spans="1:12" s="18" customFormat="1" ht="38.25" x14ac:dyDescent="0.25">
      <c r="A92" s="49"/>
      <c r="B92" s="29" t="s">
        <v>179</v>
      </c>
      <c r="C92" s="13" t="s">
        <v>173</v>
      </c>
      <c r="D92" s="13" t="s">
        <v>33</v>
      </c>
      <c r="E92" s="33">
        <v>0</v>
      </c>
      <c r="F92" s="33">
        <v>0</v>
      </c>
      <c r="G92" s="248">
        <v>0</v>
      </c>
      <c r="H92" s="33">
        <v>0</v>
      </c>
      <c r="I92" s="93">
        <v>0</v>
      </c>
      <c r="J92" s="93">
        <v>0</v>
      </c>
      <c r="K92" s="93">
        <v>0</v>
      </c>
      <c r="L92" s="86">
        <v>0</v>
      </c>
    </row>
    <row r="93" spans="1:12" s="18" customFormat="1" ht="38.25" x14ac:dyDescent="0.25">
      <c r="A93" s="49"/>
      <c r="B93" s="29" t="s">
        <v>180</v>
      </c>
      <c r="C93" s="13" t="s">
        <v>173</v>
      </c>
      <c r="D93" s="13" t="s">
        <v>33</v>
      </c>
      <c r="E93" s="33">
        <v>0</v>
      </c>
      <c r="F93" s="33">
        <v>0</v>
      </c>
      <c r="G93" s="248">
        <v>0</v>
      </c>
      <c r="H93" s="33">
        <v>0</v>
      </c>
      <c r="I93" s="93">
        <v>0</v>
      </c>
      <c r="J93" s="93">
        <v>0</v>
      </c>
      <c r="K93" s="93">
        <v>0</v>
      </c>
      <c r="L93" s="86">
        <v>0</v>
      </c>
    </row>
    <row r="94" spans="1:12" s="18" customFormat="1" ht="51" x14ac:dyDescent="0.25">
      <c r="A94" s="49"/>
      <c r="B94" s="29" t="s">
        <v>181</v>
      </c>
      <c r="C94" s="13" t="s">
        <v>182</v>
      </c>
      <c r="D94" s="13" t="s">
        <v>33</v>
      </c>
      <c r="E94" s="33">
        <v>0</v>
      </c>
      <c r="F94" s="33">
        <v>0</v>
      </c>
      <c r="G94" s="248">
        <v>0</v>
      </c>
      <c r="H94" s="33">
        <v>0</v>
      </c>
      <c r="I94" s="93">
        <v>0</v>
      </c>
      <c r="J94" s="93">
        <v>0</v>
      </c>
      <c r="K94" s="93">
        <v>0</v>
      </c>
      <c r="L94" s="86">
        <v>0</v>
      </c>
    </row>
    <row r="95" spans="1:12" s="12" customFormat="1" ht="18.75" customHeight="1" x14ac:dyDescent="0.25">
      <c r="A95" s="1132" t="s">
        <v>7</v>
      </c>
      <c r="B95" s="1132"/>
      <c r="C95" s="1132"/>
      <c r="D95" s="1132"/>
      <c r="E95" s="42">
        <f t="shared" ref="E95:L95" si="17">SUM(E9,E13:E18,E21:E22,E26,E28:E33,E37:E38,E42,E48:E49,E56,E63,E65,E70,E72,E76:E78,E80:E80,E81,E82,E84:E85,E90:E91)</f>
        <v>239554.52600000001</v>
      </c>
      <c r="F95" s="42">
        <f t="shared" si="17"/>
        <v>87920.13</v>
      </c>
      <c r="G95" s="253">
        <f t="shared" si="17"/>
        <v>17019.07</v>
      </c>
      <c r="H95" s="42">
        <f t="shared" si="17"/>
        <v>134615.326</v>
      </c>
      <c r="I95" s="111">
        <f t="shared" si="17"/>
        <v>109970.44109000001</v>
      </c>
      <c r="J95" s="111">
        <f t="shared" si="17"/>
        <v>25054.659999999996</v>
      </c>
      <c r="K95" s="242">
        <f t="shared" si="17"/>
        <v>3329.19</v>
      </c>
      <c r="L95" s="111">
        <f t="shared" si="17"/>
        <v>81586.591090000002</v>
      </c>
    </row>
    <row r="96" spans="1:12" x14ac:dyDescent="0.25">
      <c r="A96" s="7"/>
      <c r="G96" s="254"/>
    </row>
    <row r="97" spans="1:12" x14ac:dyDescent="0.25">
      <c r="A97" s="7"/>
      <c r="B97" s="19"/>
      <c r="E97" s="112"/>
      <c r="F97" s="112"/>
      <c r="H97" s="112"/>
      <c r="L97" s="112"/>
    </row>
    <row r="98" spans="1:12" x14ac:dyDescent="0.25">
      <c r="A98" s="7"/>
      <c r="E98" s="112"/>
      <c r="F98" s="112"/>
      <c r="H98" s="112"/>
    </row>
    <row r="99" spans="1:12" x14ac:dyDescent="0.25">
      <c r="A99" s="62" t="s">
        <v>8</v>
      </c>
      <c r="B99" s="63"/>
      <c r="C99" s="64"/>
      <c r="D99" s="64"/>
      <c r="E99" s="99"/>
      <c r="F99" s="100"/>
      <c r="G99" s="255"/>
      <c r="H99" s="101"/>
      <c r="I99" s="101"/>
      <c r="J99" s="101"/>
    </row>
    <row r="100" spans="1:12" x14ac:dyDescent="0.25">
      <c r="A100" s="65"/>
      <c r="B100" s="66"/>
      <c r="C100" s="67"/>
      <c r="D100" s="67"/>
      <c r="E100" s="102"/>
      <c r="F100" s="103"/>
      <c r="G100" s="256"/>
      <c r="H100" s="104"/>
      <c r="I100" s="104"/>
      <c r="J100" s="104" t="s">
        <v>9</v>
      </c>
    </row>
    <row r="101" spans="1:12" x14ac:dyDescent="0.25">
      <c r="A101" s="65"/>
      <c r="B101" s="1120" t="s">
        <v>10</v>
      </c>
      <c r="C101" s="1121"/>
      <c r="D101" s="1122"/>
      <c r="E101" s="1123" t="s">
        <v>11</v>
      </c>
      <c r="F101" s="1124"/>
      <c r="G101" s="1125"/>
      <c r="H101" s="1123" t="s">
        <v>12</v>
      </c>
      <c r="I101" s="1124"/>
      <c r="J101" s="1125"/>
    </row>
    <row r="102" spans="1:12" ht="31.5" x14ac:dyDescent="0.25">
      <c r="A102" s="65"/>
      <c r="B102" s="68" t="s">
        <v>13</v>
      </c>
      <c r="C102" s="68" t="s">
        <v>14</v>
      </c>
      <c r="D102" s="68" t="s">
        <v>15</v>
      </c>
      <c r="E102" s="105" t="s">
        <v>13</v>
      </c>
      <c r="F102" s="105" t="s">
        <v>14</v>
      </c>
      <c r="G102" s="257" t="s">
        <v>15</v>
      </c>
      <c r="H102" s="105" t="s">
        <v>13</v>
      </c>
      <c r="I102" s="105" t="s">
        <v>14</v>
      </c>
      <c r="J102" s="105" t="s">
        <v>15</v>
      </c>
    </row>
    <row r="103" spans="1:12" x14ac:dyDescent="0.25">
      <c r="A103" s="69"/>
      <c r="B103" s="70">
        <f>C103+D103</f>
        <v>264289.09999999998</v>
      </c>
      <c r="C103" s="70">
        <f>41753.7</f>
        <v>41753.699999999997</v>
      </c>
      <c r="D103" s="70">
        <f>87920.1+134615.3</f>
        <v>222535.4</v>
      </c>
      <c r="E103" s="106">
        <f>F103+G103</f>
        <v>109970.44109000001</v>
      </c>
      <c r="F103" s="106">
        <f>K95</f>
        <v>3329.19</v>
      </c>
      <c r="G103" s="258">
        <f>J95+L95</f>
        <v>106641.25109000001</v>
      </c>
      <c r="H103" s="107">
        <f>B103-E103</f>
        <v>154318.65890999997</v>
      </c>
      <c r="I103" s="107">
        <f>C103-F103</f>
        <v>38424.509999999995</v>
      </c>
      <c r="J103" s="107">
        <f>G103-D103</f>
        <v>-115894.14890999999</v>
      </c>
    </row>
    <row r="104" spans="1:12" x14ac:dyDescent="0.25">
      <c r="A104" s="7"/>
    </row>
    <row r="105" spans="1:12" x14ac:dyDescent="0.25">
      <c r="A105" s="7"/>
    </row>
    <row r="106" spans="1:12" x14ac:dyDescent="0.25">
      <c r="A106" s="7"/>
    </row>
    <row r="107" spans="1:12" x14ac:dyDescent="0.25">
      <c r="A107" s="7"/>
    </row>
    <row r="108" spans="1:12" x14ac:dyDescent="0.25">
      <c r="A108" s="7"/>
    </row>
    <row r="109" spans="1:12" x14ac:dyDescent="0.25">
      <c r="A109" s="7"/>
    </row>
    <row r="110" spans="1:12" x14ac:dyDescent="0.25">
      <c r="A110" s="7"/>
    </row>
    <row r="111" spans="1:12" x14ac:dyDescent="0.25">
      <c r="A111" s="7"/>
    </row>
    <row r="112" spans="1:12"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sheetData>
  <mergeCells count="15">
    <mergeCell ref="B101:D101"/>
    <mergeCell ref="E101:G101"/>
    <mergeCell ref="H101:J101"/>
    <mergeCell ref="A2:L2"/>
    <mergeCell ref="A4:A6"/>
    <mergeCell ref="B4:B6"/>
    <mergeCell ref="C4:C6"/>
    <mergeCell ref="D4:D6"/>
    <mergeCell ref="E4:H4"/>
    <mergeCell ref="I4:L4"/>
    <mergeCell ref="E5:E6"/>
    <mergeCell ref="F5:H5"/>
    <mergeCell ref="I5:I6"/>
    <mergeCell ref="J5:L5"/>
    <mergeCell ref="A95:D9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2"/>
  <sheetViews>
    <sheetView workbookViewId="0">
      <selection sqref="A1:S1"/>
    </sheetView>
  </sheetViews>
  <sheetFormatPr defaultRowHeight="15.75" x14ac:dyDescent="0.2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1161" t="s">
        <v>187</v>
      </c>
      <c r="B1" s="1161"/>
      <c r="C1" s="1161"/>
      <c r="D1" s="1161"/>
      <c r="E1" s="1161"/>
      <c r="F1" s="1161"/>
      <c r="G1" s="1161"/>
    </row>
    <row r="2" spans="1:24" x14ac:dyDescent="0.25">
      <c r="A2" s="1161" t="s">
        <v>413</v>
      </c>
      <c r="B2" s="1161"/>
      <c r="C2" s="1161"/>
      <c r="D2" s="1161"/>
      <c r="E2" s="1161"/>
      <c r="F2" s="1161"/>
      <c r="G2" s="1161"/>
    </row>
    <row r="4" spans="1:24" s="126" customFormat="1" x14ac:dyDescent="0.25">
      <c r="A4" s="1162" t="s">
        <v>26</v>
      </c>
      <c r="B4" s="1163" t="s">
        <v>188</v>
      </c>
      <c r="C4" s="1163" t="s">
        <v>189</v>
      </c>
      <c r="D4" s="1163"/>
      <c r="E4" s="1163" t="s">
        <v>190</v>
      </c>
      <c r="F4" s="1164" t="s">
        <v>191</v>
      </c>
      <c r="G4" s="1163" t="s">
        <v>192</v>
      </c>
      <c r="H4" s="124"/>
      <c r="I4" s="124"/>
      <c r="J4" s="124"/>
      <c r="K4" s="124"/>
      <c r="L4" s="124"/>
      <c r="M4" s="124"/>
      <c r="N4" s="124"/>
      <c r="O4" s="124"/>
      <c r="P4" s="124"/>
      <c r="Q4" s="124"/>
      <c r="R4" s="124"/>
      <c r="S4" s="124"/>
      <c r="T4" s="124"/>
      <c r="U4" s="124"/>
      <c r="V4" s="124"/>
      <c r="W4" s="124"/>
      <c r="X4" s="124"/>
    </row>
    <row r="5" spans="1:24" s="126" customFormat="1" x14ac:dyDescent="0.25">
      <c r="A5" s="1162"/>
      <c r="B5" s="1163"/>
      <c r="C5" s="127" t="s">
        <v>193</v>
      </c>
      <c r="D5" s="127" t="s">
        <v>194</v>
      </c>
      <c r="E5" s="1163"/>
      <c r="F5" s="1164"/>
      <c r="G5" s="1163"/>
      <c r="H5" s="124"/>
      <c r="I5" s="124"/>
      <c r="J5" s="124"/>
      <c r="K5" s="124"/>
      <c r="L5" s="124"/>
      <c r="M5" s="124"/>
      <c r="N5" s="124"/>
      <c r="O5" s="124"/>
      <c r="P5" s="124"/>
      <c r="Q5" s="124"/>
      <c r="R5" s="124"/>
      <c r="S5" s="124"/>
      <c r="T5" s="124"/>
      <c r="U5" s="124"/>
      <c r="V5" s="124"/>
      <c r="W5" s="124"/>
      <c r="X5" s="124"/>
    </row>
    <row r="6" spans="1:24" s="126" customFormat="1" x14ac:dyDescent="0.25">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x14ac:dyDescent="0.25">
      <c r="A7" s="130">
        <v>1</v>
      </c>
      <c r="B7" s="1165" t="s">
        <v>48</v>
      </c>
      <c r="C7" s="1165"/>
      <c r="D7" s="1165"/>
      <c r="E7" s="1165"/>
      <c r="F7" s="1165"/>
      <c r="G7" s="1165"/>
    </row>
    <row r="8" spans="1:24" x14ac:dyDescent="0.25">
      <c r="A8" s="131" t="s">
        <v>46</v>
      </c>
      <c r="B8" s="1150" t="s">
        <v>195</v>
      </c>
      <c r="C8" s="1151"/>
      <c r="D8" s="1151"/>
      <c r="E8" s="1151"/>
      <c r="F8" s="1151"/>
      <c r="G8" s="1151"/>
    </row>
    <row r="9" spans="1:24" x14ac:dyDescent="0.25">
      <c r="A9" s="132"/>
      <c r="B9" s="123" t="s">
        <v>196</v>
      </c>
      <c r="C9" s="133">
        <v>11170.18</v>
      </c>
      <c r="D9" s="133">
        <v>4833.2298000000001</v>
      </c>
      <c r="E9" s="133">
        <f>D9-C9</f>
        <v>-6336.9502000000002</v>
      </c>
      <c r="F9" s="114">
        <f>D9/C9*100</f>
        <v>43.269041322521211</v>
      </c>
      <c r="G9" s="122" t="s">
        <v>400</v>
      </c>
    </row>
    <row r="10" spans="1:24" ht="31.5" x14ac:dyDescent="0.25">
      <c r="A10" s="132"/>
      <c r="B10" s="134" t="s">
        <v>197</v>
      </c>
      <c r="C10" s="114">
        <v>22000</v>
      </c>
      <c r="D10" s="114">
        <v>14304</v>
      </c>
      <c r="E10" s="114">
        <f>D10-C10</f>
        <v>-7696</v>
      </c>
      <c r="F10" s="114">
        <f>D10/C10*100</f>
        <v>65.018181818181816</v>
      </c>
      <c r="G10" s="122" t="s">
        <v>400</v>
      </c>
    </row>
    <row r="11" spans="1:24" ht="47.25" x14ac:dyDescent="0.25">
      <c r="A11" s="132"/>
      <c r="B11" s="134" t="s">
        <v>198</v>
      </c>
      <c r="C11" s="135">
        <f>C9/C10</f>
        <v>0.50773545454545455</v>
      </c>
      <c r="D11" s="135">
        <f>D9/D10</f>
        <v>0.33789358221476512</v>
      </c>
      <c r="E11" s="133">
        <f>D11-C11</f>
        <v>-0.16984187233068943</v>
      </c>
      <c r="F11" s="114">
        <f>D11/C11*100</f>
        <v>66.549140736539897</v>
      </c>
      <c r="G11" s="122" t="s">
        <v>400</v>
      </c>
    </row>
    <row r="12" spans="1:24" ht="63" x14ac:dyDescent="0.25">
      <c r="A12" s="132"/>
      <c r="B12" s="134" t="s">
        <v>199</v>
      </c>
      <c r="C12" s="136">
        <v>66</v>
      </c>
      <c r="D12" s="136">
        <v>41.3</v>
      </c>
      <c r="E12" s="136">
        <f>D12-C12</f>
        <v>-24.700000000000003</v>
      </c>
      <c r="F12" s="136">
        <f>D12/C12*100</f>
        <v>62.575757575757571</v>
      </c>
      <c r="G12" s="122" t="s">
        <v>400</v>
      </c>
    </row>
    <row r="13" spans="1:24" x14ac:dyDescent="0.25">
      <c r="A13" s="137"/>
      <c r="B13" s="1152" t="s">
        <v>200</v>
      </c>
      <c r="C13" s="1153"/>
      <c r="D13" s="1153"/>
      <c r="E13" s="1153"/>
      <c r="F13" s="1153"/>
      <c r="G13" s="1153"/>
    </row>
    <row r="14" spans="1:24" x14ac:dyDescent="0.25">
      <c r="A14" s="138"/>
      <c r="B14" s="123" t="s">
        <v>196</v>
      </c>
      <c r="C14" s="133">
        <v>5909.49</v>
      </c>
      <c r="D14" s="133">
        <v>3472.61</v>
      </c>
      <c r="E14" s="133">
        <f>D14-C14</f>
        <v>-2436.8799999999997</v>
      </c>
      <c r="F14" s="114">
        <f>D14/C14*100</f>
        <v>58.763277372497456</v>
      </c>
      <c r="G14" s="122" t="s">
        <v>400</v>
      </c>
    </row>
    <row r="15" spans="1:24" ht="31.5" x14ac:dyDescent="0.25">
      <c r="A15" s="138"/>
      <c r="B15" s="134" t="s">
        <v>201</v>
      </c>
      <c r="C15" s="114">
        <v>15700</v>
      </c>
      <c r="D15" s="114">
        <v>9063</v>
      </c>
      <c r="E15" s="114">
        <f>D15-C15</f>
        <v>-6637</v>
      </c>
      <c r="F15" s="114">
        <f>D15/C15*100</f>
        <v>57.726114649681527</v>
      </c>
      <c r="G15" s="122" t="s">
        <v>400</v>
      </c>
    </row>
    <row r="16" spans="1:24" ht="47.25" x14ac:dyDescent="0.25">
      <c r="A16" s="138"/>
      <c r="B16" s="134" t="s">
        <v>202</v>
      </c>
      <c r="C16" s="139">
        <f>C14/C15</f>
        <v>0.37640063694267517</v>
      </c>
      <c r="D16" s="139">
        <f>D14/D15</f>
        <v>0.38316341167383872</v>
      </c>
      <c r="E16" s="139">
        <f>D16-C16</f>
        <v>6.7627747311635455E-3</v>
      </c>
      <c r="F16" s="114">
        <f>D16/C16*100</f>
        <v>101.79669587865057</v>
      </c>
      <c r="G16" s="122" t="s">
        <v>400</v>
      </c>
    </row>
    <row r="17" spans="1:24" ht="63" x14ac:dyDescent="0.25">
      <c r="A17" s="138"/>
      <c r="B17" s="134" t="s">
        <v>203</v>
      </c>
      <c r="C17" s="140">
        <v>65</v>
      </c>
      <c r="D17" s="141">
        <v>27.2</v>
      </c>
      <c r="E17" s="141">
        <f>D17-C17</f>
        <v>-37.799999999999997</v>
      </c>
      <c r="F17" s="114">
        <f>D17/C17*100</f>
        <v>41.846153846153847</v>
      </c>
      <c r="G17" s="122" t="s">
        <v>400</v>
      </c>
    </row>
    <row r="18" spans="1:24" x14ac:dyDescent="0.25">
      <c r="A18" s="138"/>
      <c r="B18" s="1137" t="s">
        <v>52</v>
      </c>
      <c r="C18" s="1137"/>
      <c r="D18" s="1137"/>
      <c r="E18" s="1137"/>
      <c r="F18" s="1137"/>
      <c r="G18" s="1138"/>
    </row>
    <row r="19" spans="1:24" x14ac:dyDescent="0.25">
      <c r="A19" s="138"/>
      <c r="B19" s="123" t="s">
        <v>196</v>
      </c>
      <c r="C19" s="133">
        <v>3743.7959999999998</v>
      </c>
      <c r="D19" s="142">
        <v>839.38</v>
      </c>
      <c r="E19" s="133">
        <f>D19-C19</f>
        <v>-2904.4159999999997</v>
      </c>
      <c r="F19" s="114">
        <f>D19/C19*100</f>
        <v>22.420559239873114</v>
      </c>
      <c r="G19" s="122" t="s">
        <v>400</v>
      </c>
    </row>
    <row r="20" spans="1:24" ht="31.5" x14ac:dyDescent="0.25">
      <c r="A20" s="138"/>
      <c r="B20" s="123" t="s">
        <v>204</v>
      </c>
      <c r="C20" s="114">
        <v>5700</v>
      </c>
      <c r="D20" s="143">
        <v>3668</v>
      </c>
      <c r="E20" s="114">
        <f>D20-C20</f>
        <v>-2032</v>
      </c>
      <c r="F20" s="114">
        <f>D20/C20*100</f>
        <v>64.350877192982452</v>
      </c>
      <c r="G20" s="122" t="s">
        <v>400</v>
      </c>
    </row>
    <row r="21" spans="1:24" ht="47.25" x14ac:dyDescent="0.25">
      <c r="A21" s="144"/>
      <c r="B21" s="123" t="s">
        <v>205</v>
      </c>
      <c r="C21" s="145">
        <f>C19/C20</f>
        <v>0.65680631578947368</v>
      </c>
      <c r="D21" s="145">
        <f>D19/D20</f>
        <v>0.22883860414394766</v>
      </c>
      <c r="E21" s="133">
        <f>D21-C21</f>
        <v>-0.42796771164552605</v>
      </c>
      <c r="F21" s="114">
        <f>D21/C21*100</f>
        <v>34.841108960544368</v>
      </c>
      <c r="G21" s="122" t="s">
        <v>400</v>
      </c>
    </row>
    <row r="22" spans="1:24" ht="63" x14ac:dyDescent="0.25">
      <c r="A22" s="144"/>
      <c r="B22" s="146" t="s">
        <v>206</v>
      </c>
      <c r="C22" s="147">
        <v>57</v>
      </c>
      <c r="D22" s="148">
        <v>34.9</v>
      </c>
      <c r="E22" s="141">
        <f>D22-C22</f>
        <v>-22.1</v>
      </c>
      <c r="F22" s="114">
        <f>D22/C22*100</f>
        <v>61.228070175438596</v>
      </c>
      <c r="G22" s="122" t="s">
        <v>400</v>
      </c>
    </row>
    <row r="23" spans="1:24" s="149" customFormat="1" x14ac:dyDescent="0.25">
      <c r="A23" s="137" t="s">
        <v>247</v>
      </c>
      <c r="B23" s="1154" t="s">
        <v>248</v>
      </c>
      <c r="C23" s="1155"/>
      <c r="D23" s="1137"/>
      <c r="E23" s="1137"/>
      <c r="F23" s="1137"/>
      <c r="G23" s="1138"/>
      <c r="H23" s="124"/>
      <c r="I23" s="124"/>
      <c r="J23" s="124"/>
      <c r="K23" s="124"/>
      <c r="L23" s="124"/>
      <c r="M23" s="124"/>
      <c r="N23" s="124"/>
      <c r="O23" s="124"/>
      <c r="P23" s="124"/>
      <c r="Q23" s="124"/>
      <c r="R23" s="124"/>
      <c r="S23" s="124"/>
      <c r="T23" s="124"/>
      <c r="U23" s="124"/>
      <c r="V23" s="124"/>
      <c r="W23" s="124"/>
      <c r="X23" s="124"/>
    </row>
    <row r="24" spans="1:24" x14ac:dyDescent="0.25">
      <c r="A24" s="150"/>
      <c r="B24" s="151" t="s">
        <v>249</v>
      </c>
      <c r="C24" s="152">
        <v>620</v>
      </c>
      <c r="D24" s="153">
        <v>52.43</v>
      </c>
      <c r="E24" s="154">
        <f>D24-C24</f>
        <v>-567.57000000000005</v>
      </c>
      <c r="F24" s="114">
        <f>D24/C24*100</f>
        <v>8.4564516129032263</v>
      </c>
      <c r="G24" s="122" t="s">
        <v>400</v>
      </c>
    </row>
    <row r="25" spans="1:24" ht="47.25" x14ac:dyDescent="0.25">
      <c r="A25" s="150"/>
      <c r="B25" s="151" t="s">
        <v>250</v>
      </c>
      <c r="C25" s="155">
        <v>4</v>
      </c>
      <c r="D25" s="153">
        <v>4</v>
      </c>
      <c r="E25" s="141">
        <f>D25-C25</f>
        <v>0</v>
      </c>
      <c r="F25" s="114">
        <f>D25/C25*100</f>
        <v>100</v>
      </c>
      <c r="G25" s="122" t="s">
        <v>400</v>
      </c>
    </row>
    <row r="26" spans="1:24" ht="47.25" x14ac:dyDescent="0.25">
      <c r="A26" s="150"/>
      <c r="B26" s="151" t="s">
        <v>251</v>
      </c>
      <c r="C26" s="152">
        <v>155</v>
      </c>
      <c r="D26" s="156">
        <f>D24/D25</f>
        <v>13.1075</v>
      </c>
      <c r="E26" s="141">
        <f>D26-C26</f>
        <v>-141.89250000000001</v>
      </c>
      <c r="F26" s="114">
        <f>D26/C26*100</f>
        <v>8.4564516129032263</v>
      </c>
      <c r="G26" s="122" t="s">
        <v>400</v>
      </c>
    </row>
    <row r="27" spans="1:24" ht="47.25" x14ac:dyDescent="0.25">
      <c r="A27" s="150"/>
      <c r="B27" s="151" t="s">
        <v>252</v>
      </c>
      <c r="C27" s="155">
        <v>60</v>
      </c>
      <c r="D27" s="157">
        <v>29.3</v>
      </c>
      <c r="E27" s="141">
        <f>D27-C27</f>
        <v>-30.7</v>
      </c>
      <c r="F27" s="114">
        <f>D27/C27*100</f>
        <v>48.833333333333336</v>
      </c>
      <c r="G27" s="122" t="s">
        <v>400</v>
      </c>
    </row>
    <row r="28" spans="1:24" s="149" customFormat="1" x14ac:dyDescent="0.25">
      <c r="A28" s="137" t="s">
        <v>253</v>
      </c>
      <c r="B28" s="1157" t="s">
        <v>54</v>
      </c>
      <c r="C28" s="1158"/>
      <c r="D28" s="1159"/>
      <c r="E28" s="1158"/>
      <c r="F28" s="1158"/>
      <c r="G28" s="1160"/>
      <c r="H28" s="124"/>
      <c r="I28" s="124"/>
      <c r="J28" s="124"/>
      <c r="K28" s="124"/>
      <c r="L28" s="124"/>
      <c r="M28" s="124"/>
      <c r="N28" s="124"/>
      <c r="O28" s="124"/>
      <c r="P28" s="124"/>
      <c r="Q28" s="124"/>
      <c r="R28" s="124"/>
      <c r="S28" s="124"/>
      <c r="T28" s="124"/>
      <c r="U28" s="124"/>
      <c r="V28" s="124"/>
      <c r="W28" s="124"/>
      <c r="X28" s="124"/>
    </row>
    <row r="29" spans="1:24" ht="63" x14ac:dyDescent="0.25">
      <c r="A29" s="150"/>
      <c r="B29" s="151" t="s">
        <v>254</v>
      </c>
      <c r="C29" s="155">
        <v>4</v>
      </c>
      <c r="D29" s="148">
        <v>1</v>
      </c>
      <c r="E29" s="141">
        <f>D29-C29</f>
        <v>-3</v>
      </c>
      <c r="F29" s="114">
        <f>D29/C29*100</f>
        <v>25</v>
      </c>
      <c r="G29" s="122" t="s">
        <v>400</v>
      </c>
    </row>
    <row r="30" spans="1:24" ht="47.25" x14ac:dyDescent="0.25">
      <c r="A30" s="150"/>
      <c r="B30" s="151" t="s">
        <v>255</v>
      </c>
      <c r="C30" s="152">
        <v>50</v>
      </c>
      <c r="D30" s="148">
        <v>0</v>
      </c>
      <c r="E30" s="141">
        <f>D30-C30</f>
        <v>-50</v>
      </c>
      <c r="F30" s="114">
        <f>D30/C30*100</f>
        <v>0</v>
      </c>
      <c r="G30" s="122" t="s">
        <v>400</v>
      </c>
    </row>
    <row r="31" spans="1:24" x14ac:dyDescent="0.25">
      <c r="A31" s="158" t="s">
        <v>66</v>
      </c>
      <c r="B31" s="1154" t="s">
        <v>55</v>
      </c>
      <c r="C31" s="1155"/>
      <c r="D31" s="1155"/>
      <c r="E31" s="1155"/>
      <c r="F31" s="1155"/>
      <c r="G31" s="1156"/>
    </row>
    <row r="32" spans="1:24" x14ac:dyDescent="0.25">
      <c r="A32" s="159"/>
      <c r="B32" s="123" t="s">
        <v>196</v>
      </c>
      <c r="C32" s="133">
        <v>1150</v>
      </c>
      <c r="D32" s="142">
        <v>241.1</v>
      </c>
      <c r="E32" s="133">
        <f>D32-C32</f>
        <v>-908.9</v>
      </c>
      <c r="F32" s="114">
        <f>D32/C32*100</f>
        <v>20.965217391304346</v>
      </c>
      <c r="G32" s="122" t="s">
        <v>400</v>
      </c>
    </row>
    <row r="33" spans="1:7" ht="47.25" x14ac:dyDescent="0.25">
      <c r="A33" s="138"/>
      <c r="B33" s="123" t="s">
        <v>207</v>
      </c>
      <c r="C33" s="116">
        <v>3</v>
      </c>
      <c r="D33" s="117">
        <v>2</v>
      </c>
      <c r="E33" s="114">
        <f>D33-C33</f>
        <v>-1</v>
      </c>
      <c r="F33" s="114">
        <f>D33/C33*100</f>
        <v>66.666666666666657</v>
      </c>
      <c r="G33" s="122" t="s">
        <v>400</v>
      </c>
    </row>
    <row r="34" spans="1:7" ht="47.25" x14ac:dyDescent="0.25">
      <c r="A34" s="138"/>
      <c r="B34" s="123" t="s">
        <v>208</v>
      </c>
      <c r="C34" s="133">
        <f>C32/C33</f>
        <v>383.33333333333331</v>
      </c>
      <c r="D34" s="133">
        <f>D32/D33</f>
        <v>120.55</v>
      </c>
      <c r="E34" s="133">
        <f>D34-C34</f>
        <v>-262.7833333333333</v>
      </c>
      <c r="F34" s="114">
        <f>D34/C34*100</f>
        <v>31.447826086956521</v>
      </c>
      <c r="G34" s="122" t="s">
        <v>400</v>
      </c>
    </row>
    <row r="35" spans="1:7" ht="47.25" x14ac:dyDescent="0.25">
      <c r="A35" s="144"/>
      <c r="B35" s="123" t="s">
        <v>209</v>
      </c>
      <c r="C35" s="160">
        <v>40</v>
      </c>
      <c r="D35" s="161">
        <v>3.6</v>
      </c>
      <c r="E35" s="136">
        <f>D35-C35</f>
        <v>-36.4</v>
      </c>
      <c r="F35" s="114">
        <f>D35/C35*100</f>
        <v>9</v>
      </c>
      <c r="G35" s="122" t="s">
        <v>400</v>
      </c>
    </row>
    <row r="36" spans="1:7" x14ac:dyDescent="0.25">
      <c r="A36" s="144" t="s">
        <v>256</v>
      </c>
      <c r="B36" s="1136" t="s">
        <v>56</v>
      </c>
      <c r="C36" s="1137"/>
      <c r="D36" s="1137"/>
      <c r="E36" s="1137"/>
      <c r="F36" s="1137"/>
      <c r="G36" s="1138"/>
    </row>
    <row r="37" spans="1:7" x14ac:dyDescent="0.25">
      <c r="A37" s="162"/>
      <c r="B37" s="151" t="s">
        <v>257</v>
      </c>
      <c r="C37" s="163">
        <v>80.28</v>
      </c>
      <c r="D37" s="164">
        <v>0</v>
      </c>
      <c r="E37" s="165">
        <f t="shared" ref="E37:E85" si="0">D37-C37</f>
        <v>-80.28</v>
      </c>
      <c r="F37" s="118">
        <f>D37/C37*100</f>
        <v>0</v>
      </c>
      <c r="G37" s="122" t="s">
        <v>400</v>
      </c>
    </row>
    <row r="38" spans="1:7" ht="48" customHeight="1" x14ac:dyDescent="0.25">
      <c r="A38" s="162"/>
      <c r="B38" s="151" t="s">
        <v>258</v>
      </c>
      <c r="C38" s="155">
        <v>100</v>
      </c>
      <c r="D38" s="166">
        <v>0</v>
      </c>
      <c r="E38" s="136">
        <f t="shared" si="0"/>
        <v>-100</v>
      </c>
      <c r="F38" s="114">
        <f>D38/C38*100</f>
        <v>0</v>
      </c>
      <c r="G38" s="122" t="s">
        <v>400</v>
      </c>
    </row>
    <row r="39" spans="1:7" ht="39" customHeight="1" x14ac:dyDescent="0.25">
      <c r="A39" s="162"/>
      <c r="B39" s="151" t="s">
        <v>259</v>
      </c>
      <c r="C39" s="155">
        <v>0.8</v>
      </c>
      <c r="D39" s="166">
        <v>0</v>
      </c>
      <c r="E39" s="136">
        <f t="shared" si="0"/>
        <v>-0.8</v>
      </c>
      <c r="F39" s="114">
        <f>D39/C39*100</f>
        <v>0</v>
      </c>
      <c r="G39" s="122" t="s">
        <v>400</v>
      </c>
    </row>
    <row r="40" spans="1:7" ht="63" x14ac:dyDescent="0.25">
      <c r="A40" s="162"/>
      <c r="B40" s="151" t="s">
        <v>260</v>
      </c>
      <c r="C40" s="155">
        <v>0.41</v>
      </c>
      <c r="D40" s="166">
        <v>0</v>
      </c>
      <c r="E40" s="136">
        <f t="shared" si="0"/>
        <v>-0.41</v>
      </c>
      <c r="F40" s="114">
        <f>D40/C40*100</f>
        <v>0</v>
      </c>
      <c r="G40" s="122" t="s">
        <v>400</v>
      </c>
    </row>
    <row r="41" spans="1:7" ht="32.25" customHeight="1" x14ac:dyDescent="0.25">
      <c r="A41" s="162" t="s">
        <v>261</v>
      </c>
      <c r="B41" s="1136" t="s">
        <v>57</v>
      </c>
      <c r="C41" s="1137"/>
      <c r="D41" s="1137"/>
      <c r="E41" s="1137"/>
      <c r="F41" s="1137"/>
      <c r="G41" s="1138"/>
    </row>
    <row r="42" spans="1:7" ht="18.75" x14ac:dyDescent="0.25">
      <c r="A42" s="162"/>
      <c r="B42" s="151" t="s">
        <v>257</v>
      </c>
      <c r="C42" s="163">
        <v>635</v>
      </c>
      <c r="D42" s="167">
        <v>333.16</v>
      </c>
      <c r="E42" s="165">
        <f t="shared" si="0"/>
        <v>-301.83999999999997</v>
      </c>
      <c r="F42" s="114">
        <f>D42/C42*100</f>
        <v>52.466141732283468</v>
      </c>
      <c r="G42" s="122" t="s">
        <v>400</v>
      </c>
    </row>
    <row r="43" spans="1:7" ht="47.25" x14ac:dyDescent="0.25">
      <c r="A43" s="162"/>
      <c r="B43" s="151" t="s">
        <v>262</v>
      </c>
      <c r="C43" s="155">
        <v>150</v>
      </c>
      <c r="D43" s="168">
        <v>8</v>
      </c>
      <c r="E43" s="136">
        <f t="shared" si="0"/>
        <v>-142</v>
      </c>
      <c r="F43" s="114">
        <f>D43/C43*100</f>
        <v>5.3333333333333339</v>
      </c>
      <c r="G43" s="122" t="s">
        <v>400</v>
      </c>
    </row>
    <row r="44" spans="1:7" ht="63" customHeight="1" x14ac:dyDescent="0.25">
      <c r="A44" s="162"/>
      <c r="B44" s="151" t="s">
        <v>263</v>
      </c>
      <c r="C44" s="152">
        <v>4.2300000000000004</v>
      </c>
      <c r="D44" s="153">
        <f>D42/D43</f>
        <v>41.645000000000003</v>
      </c>
      <c r="E44" s="136">
        <f t="shared" si="0"/>
        <v>37.415000000000006</v>
      </c>
      <c r="F44" s="114">
        <f>D44/C44*100</f>
        <v>984.51536643025997</v>
      </c>
      <c r="G44" s="122" t="s">
        <v>400</v>
      </c>
    </row>
    <row r="45" spans="1:7" ht="78.75" x14ac:dyDescent="0.25">
      <c r="A45" s="162"/>
      <c r="B45" s="151" t="s">
        <v>264</v>
      </c>
      <c r="C45" s="155">
        <v>50</v>
      </c>
      <c r="D45" s="168">
        <v>98</v>
      </c>
      <c r="E45" s="136">
        <f t="shared" si="0"/>
        <v>48</v>
      </c>
      <c r="F45" s="114">
        <f>D45/C45*100</f>
        <v>196</v>
      </c>
      <c r="G45" s="122" t="s">
        <v>400</v>
      </c>
    </row>
    <row r="46" spans="1:7" x14ac:dyDescent="0.25">
      <c r="A46" s="138" t="s">
        <v>265</v>
      </c>
      <c r="B46" s="1136" t="s">
        <v>269</v>
      </c>
      <c r="C46" s="1137"/>
      <c r="D46" s="1137"/>
      <c r="E46" s="1137"/>
      <c r="F46" s="1137"/>
      <c r="G46" s="1138"/>
    </row>
    <row r="47" spans="1:7" x14ac:dyDescent="0.25">
      <c r="A47" s="169"/>
      <c r="B47" s="151" t="s">
        <v>257</v>
      </c>
      <c r="C47" s="170">
        <v>3039.29</v>
      </c>
      <c r="D47" s="171">
        <f>D50+D54+D58</f>
        <v>1870.68</v>
      </c>
      <c r="E47" s="165">
        <f t="shared" si="0"/>
        <v>-1168.6099999999999</v>
      </c>
      <c r="F47" s="114">
        <f>D47/C47*100</f>
        <v>61.549901457248247</v>
      </c>
      <c r="G47" s="122" t="s">
        <v>400</v>
      </c>
    </row>
    <row r="48" spans="1:7" ht="31.5" x14ac:dyDescent="0.25">
      <c r="A48" s="172"/>
      <c r="B48" s="151" t="s">
        <v>267</v>
      </c>
      <c r="C48" s="152">
        <v>1550</v>
      </c>
      <c r="D48" s="143">
        <v>1056</v>
      </c>
      <c r="E48" s="136">
        <f t="shared" si="0"/>
        <v>-494</v>
      </c>
      <c r="F48" s="114">
        <f>D48/C48*100</f>
        <v>68.129032258064512</v>
      </c>
      <c r="G48" s="122" t="s">
        <v>400</v>
      </c>
    </row>
    <row r="49" spans="1:7" ht="31.5" x14ac:dyDescent="0.25">
      <c r="A49" s="172"/>
      <c r="B49" s="173" t="s">
        <v>275</v>
      </c>
      <c r="C49" s="116"/>
      <c r="D49" s="166"/>
      <c r="E49" s="136"/>
      <c r="F49" s="114"/>
      <c r="G49" s="122" t="s">
        <v>400</v>
      </c>
    </row>
    <row r="50" spans="1:7" x14ac:dyDescent="0.25">
      <c r="A50" s="172"/>
      <c r="B50" s="151" t="s">
        <v>257</v>
      </c>
      <c r="C50" s="152">
        <v>1652.29</v>
      </c>
      <c r="D50" s="166">
        <v>1870.68</v>
      </c>
      <c r="E50" s="136">
        <f t="shared" si="0"/>
        <v>218.3900000000001</v>
      </c>
      <c r="F50" s="114">
        <f>D50/C50*100</f>
        <v>113.21741340805791</v>
      </c>
      <c r="G50" s="122" t="s">
        <v>400</v>
      </c>
    </row>
    <row r="51" spans="1:7" ht="31.5" x14ac:dyDescent="0.25">
      <c r="A51" s="172"/>
      <c r="B51" s="151" t="s">
        <v>271</v>
      </c>
      <c r="C51" s="152">
        <v>900</v>
      </c>
      <c r="D51" s="166">
        <v>1056</v>
      </c>
      <c r="E51" s="136">
        <f t="shared" si="0"/>
        <v>156</v>
      </c>
      <c r="F51" s="114">
        <f>D51/C51*100</f>
        <v>117.33333333333333</v>
      </c>
      <c r="G51" s="122" t="s">
        <v>400</v>
      </c>
    </row>
    <row r="52" spans="1:7" ht="60.75" customHeight="1" x14ac:dyDescent="0.25">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x14ac:dyDescent="0.25">
      <c r="A53" s="172"/>
      <c r="B53" s="1166" t="s">
        <v>268</v>
      </c>
      <c r="C53" s="1167"/>
      <c r="D53" s="1167"/>
      <c r="E53" s="1167"/>
      <c r="F53" s="1167"/>
      <c r="G53" s="1168"/>
    </row>
    <row r="54" spans="1:7" x14ac:dyDescent="0.25">
      <c r="A54" s="172"/>
      <c r="B54" s="151" t="s">
        <v>257</v>
      </c>
      <c r="C54" s="175">
        <v>511</v>
      </c>
      <c r="D54" s="164">
        <v>0</v>
      </c>
      <c r="E54" s="165">
        <f t="shared" si="0"/>
        <v>-511</v>
      </c>
      <c r="F54" s="114">
        <f>D54/C54*100</f>
        <v>0</v>
      </c>
      <c r="G54" s="122" t="s">
        <v>400</v>
      </c>
    </row>
    <row r="55" spans="1:7" ht="31.5" x14ac:dyDescent="0.25">
      <c r="A55" s="172"/>
      <c r="B55" s="176" t="s">
        <v>273</v>
      </c>
      <c r="C55" s="152">
        <v>500</v>
      </c>
      <c r="D55" s="166">
        <v>0</v>
      </c>
      <c r="E55" s="136">
        <f t="shared" si="0"/>
        <v>-500</v>
      </c>
      <c r="F55" s="114">
        <f>D55/C55*100</f>
        <v>0</v>
      </c>
      <c r="G55" s="122" t="s">
        <v>400</v>
      </c>
    </row>
    <row r="56" spans="1:7" ht="47.25" x14ac:dyDescent="0.25">
      <c r="A56" s="172"/>
      <c r="B56" s="176" t="s">
        <v>274</v>
      </c>
      <c r="C56" s="152">
        <f>C54/C55</f>
        <v>1.022</v>
      </c>
      <c r="D56" s="166">
        <v>0</v>
      </c>
      <c r="E56" s="136">
        <f t="shared" si="0"/>
        <v>-1.022</v>
      </c>
      <c r="F56" s="114">
        <f>D56/C56*100</f>
        <v>0</v>
      </c>
      <c r="G56" s="122" t="s">
        <v>400</v>
      </c>
    </row>
    <row r="57" spans="1:7" x14ac:dyDescent="0.25">
      <c r="A57" s="172"/>
      <c r="B57" s="1170" t="s">
        <v>276</v>
      </c>
      <c r="C57" s="1171"/>
      <c r="D57" s="1171"/>
      <c r="E57" s="1171"/>
      <c r="F57" s="1171"/>
      <c r="G57" s="1172"/>
    </row>
    <row r="58" spans="1:7" ht="177" customHeight="1" x14ac:dyDescent="0.25">
      <c r="A58" s="172"/>
      <c r="B58" s="176" t="s">
        <v>266</v>
      </c>
      <c r="C58" s="174">
        <v>876</v>
      </c>
      <c r="D58" s="166">
        <v>0</v>
      </c>
      <c r="E58" s="136">
        <f t="shared" si="0"/>
        <v>-876</v>
      </c>
      <c r="F58" s="114">
        <f>D58/C58*100</f>
        <v>0</v>
      </c>
      <c r="G58" s="177" t="s">
        <v>388</v>
      </c>
    </row>
    <row r="59" spans="1:7" ht="31.5" x14ac:dyDescent="0.25">
      <c r="A59" s="172"/>
      <c r="B59" s="178" t="s">
        <v>277</v>
      </c>
      <c r="C59" s="179">
        <v>150</v>
      </c>
      <c r="D59" s="166">
        <v>0</v>
      </c>
      <c r="E59" s="136">
        <f t="shared" si="0"/>
        <v>-150</v>
      </c>
      <c r="F59" s="114">
        <f>D59/C59*100</f>
        <v>0</v>
      </c>
      <c r="G59" s="122" t="s">
        <v>400</v>
      </c>
    </row>
    <row r="60" spans="1:7" ht="47.25" x14ac:dyDescent="0.25">
      <c r="A60" s="172"/>
      <c r="B60" s="180" t="s">
        <v>278</v>
      </c>
      <c r="C60" s="155">
        <f>C58/C59</f>
        <v>5.84</v>
      </c>
      <c r="D60" s="166">
        <v>0</v>
      </c>
      <c r="E60" s="136">
        <f t="shared" si="0"/>
        <v>-5.84</v>
      </c>
      <c r="F60" s="114">
        <f>D60/C60*100</f>
        <v>0</v>
      </c>
      <c r="G60" s="122" t="s">
        <v>400</v>
      </c>
    </row>
    <row r="61" spans="1:7" ht="50.25" customHeight="1" x14ac:dyDescent="0.25">
      <c r="A61" s="172"/>
      <c r="B61" s="176" t="s">
        <v>270</v>
      </c>
      <c r="C61" s="181">
        <v>4.5</v>
      </c>
      <c r="D61" s="182">
        <v>3.1</v>
      </c>
      <c r="E61" s="145">
        <f t="shared" si="0"/>
        <v>-1.4</v>
      </c>
      <c r="F61" s="114">
        <f>D61/C61*100</f>
        <v>68.888888888888886</v>
      </c>
      <c r="G61" s="122" t="s">
        <v>400</v>
      </c>
    </row>
    <row r="62" spans="1:7" x14ac:dyDescent="0.25">
      <c r="A62" s="172" t="s">
        <v>69</v>
      </c>
      <c r="B62" s="1136" t="s">
        <v>70</v>
      </c>
      <c r="C62" s="1137"/>
      <c r="D62" s="1137"/>
      <c r="E62" s="1137"/>
      <c r="F62" s="1137"/>
      <c r="G62" s="1138"/>
    </row>
    <row r="63" spans="1:7" ht="233.25" customHeight="1" x14ac:dyDescent="0.25">
      <c r="A63" s="162"/>
      <c r="B63" s="178" t="s">
        <v>279</v>
      </c>
      <c r="C63" s="179">
        <v>125.04</v>
      </c>
      <c r="D63" s="161">
        <v>0</v>
      </c>
      <c r="E63" s="136">
        <f t="shared" si="0"/>
        <v>-125.04</v>
      </c>
      <c r="F63" s="114">
        <f>D63/C63*100</f>
        <v>0</v>
      </c>
      <c r="G63" s="122" t="s">
        <v>389</v>
      </c>
    </row>
    <row r="64" spans="1:7" ht="31.5" x14ac:dyDescent="0.25">
      <c r="A64" s="144"/>
      <c r="B64" s="183" t="s">
        <v>280</v>
      </c>
      <c r="C64" s="179">
        <v>750</v>
      </c>
      <c r="D64" s="161">
        <v>268</v>
      </c>
      <c r="E64" s="136">
        <f t="shared" si="0"/>
        <v>-482</v>
      </c>
      <c r="F64" s="114">
        <f>D64/C64*100</f>
        <v>35.733333333333334</v>
      </c>
      <c r="G64" s="122" t="s">
        <v>400</v>
      </c>
    </row>
    <row r="65" spans="1:7" ht="31.5" x14ac:dyDescent="0.25">
      <c r="A65" s="144"/>
      <c r="B65" s="183" t="s">
        <v>281</v>
      </c>
      <c r="C65" s="184">
        <f>C63/C64</f>
        <v>0.16672000000000001</v>
      </c>
      <c r="D65" s="161">
        <v>0</v>
      </c>
      <c r="E65" s="136">
        <f t="shared" si="0"/>
        <v>-0.16672000000000001</v>
      </c>
      <c r="F65" s="114">
        <f>D65/C65*100</f>
        <v>0</v>
      </c>
      <c r="G65" s="122" t="s">
        <v>400</v>
      </c>
    </row>
    <row r="66" spans="1:7" ht="63" x14ac:dyDescent="0.25">
      <c r="A66" s="144"/>
      <c r="B66" s="183" t="s">
        <v>282</v>
      </c>
      <c r="C66" s="179">
        <v>100</v>
      </c>
      <c r="D66" s="161">
        <v>43.6</v>
      </c>
      <c r="E66" s="136">
        <f t="shared" si="0"/>
        <v>-56.4</v>
      </c>
      <c r="F66" s="114">
        <f>D66/C66*100</f>
        <v>43.6</v>
      </c>
      <c r="G66" s="122" t="s">
        <v>400</v>
      </c>
    </row>
    <row r="67" spans="1:7" x14ac:dyDescent="0.25">
      <c r="A67" s="144" t="s">
        <v>283</v>
      </c>
      <c r="B67" s="1136" t="s">
        <v>6</v>
      </c>
      <c r="C67" s="1137"/>
      <c r="D67" s="1137"/>
      <c r="E67" s="1137"/>
      <c r="F67" s="1137"/>
      <c r="G67" s="1138"/>
    </row>
    <row r="68" spans="1:7" ht="34.5" customHeight="1" x14ac:dyDescent="0.25">
      <c r="A68" s="169"/>
      <c r="B68" s="206" t="s">
        <v>72</v>
      </c>
      <c r="C68" s="160"/>
      <c r="D68" s="161"/>
      <c r="E68" s="136"/>
      <c r="F68" s="114"/>
      <c r="G68" s="115"/>
    </row>
    <row r="69" spans="1:7" ht="18.75" x14ac:dyDescent="0.25">
      <c r="A69" s="169"/>
      <c r="B69" s="151" t="s">
        <v>257</v>
      </c>
      <c r="C69" s="152">
        <v>2902.74</v>
      </c>
      <c r="D69" s="168">
        <v>1016.67</v>
      </c>
      <c r="E69" s="186">
        <f t="shared" si="0"/>
        <v>-1886.0699999999997</v>
      </c>
      <c r="F69" s="114">
        <f>D69/C69*100</f>
        <v>35.024494098679185</v>
      </c>
      <c r="G69" s="122" t="s">
        <v>400</v>
      </c>
    </row>
    <row r="70" spans="1:7" ht="31.5" x14ac:dyDescent="0.25">
      <c r="A70" s="169"/>
      <c r="B70" s="151" t="s">
        <v>284</v>
      </c>
      <c r="C70" s="155">
        <v>35000</v>
      </c>
      <c r="D70" s="168">
        <v>19512</v>
      </c>
      <c r="E70" s="186">
        <f t="shared" si="0"/>
        <v>-15488</v>
      </c>
      <c r="F70" s="114">
        <f>D70/C70*100</f>
        <v>55.748571428571424</v>
      </c>
      <c r="G70" s="122" t="s">
        <v>400</v>
      </c>
    </row>
    <row r="71" spans="1:7" ht="31.5" x14ac:dyDescent="0.25">
      <c r="A71" s="169"/>
      <c r="B71" s="151" t="s">
        <v>285</v>
      </c>
      <c r="C71" s="174">
        <f>C69/C70</f>
        <v>8.2935428571428563E-2</v>
      </c>
      <c r="D71" s="168">
        <v>0.05</v>
      </c>
      <c r="E71" s="186">
        <f t="shared" si="0"/>
        <v>-3.293542857142856E-2</v>
      </c>
      <c r="F71" s="114">
        <f>D71/C71*100</f>
        <v>60.287865947346312</v>
      </c>
      <c r="G71" s="122" t="s">
        <v>400</v>
      </c>
    </row>
    <row r="72" spans="1:7" ht="63" x14ac:dyDescent="0.25">
      <c r="A72" s="169"/>
      <c r="B72" s="151" t="s">
        <v>286</v>
      </c>
      <c r="C72" s="152">
        <v>100</v>
      </c>
      <c r="D72" s="168">
        <v>100</v>
      </c>
      <c r="E72" s="186">
        <f t="shared" si="0"/>
        <v>0</v>
      </c>
      <c r="F72" s="114">
        <f>D72/C72*100</f>
        <v>100</v>
      </c>
      <c r="G72" s="122" t="s">
        <v>400</v>
      </c>
    </row>
    <row r="73" spans="1:7" x14ac:dyDescent="0.25">
      <c r="A73" s="169"/>
      <c r="B73" s="1136" t="s">
        <v>73</v>
      </c>
      <c r="C73" s="1137"/>
      <c r="D73" s="1137"/>
      <c r="E73" s="1137"/>
      <c r="F73" s="1137"/>
      <c r="G73" s="1138"/>
    </row>
    <row r="74" spans="1:7" ht="227.25" customHeight="1" x14ac:dyDescent="0.25">
      <c r="A74" s="169"/>
      <c r="B74" s="176" t="s">
        <v>287</v>
      </c>
      <c r="C74" s="163">
        <v>1714.58</v>
      </c>
      <c r="D74" s="187">
        <v>219.21</v>
      </c>
      <c r="E74" s="188">
        <f t="shared" si="0"/>
        <v>-1495.37</v>
      </c>
      <c r="F74" s="118">
        <f>D74/C74*100</f>
        <v>12.785055232185142</v>
      </c>
      <c r="G74" s="122" t="s">
        <v>401</v>
      </c>
    </row>
    <row r="75" spans="1:7" ht="63" x14ac:dyDescent="0.25">
      <c r="A75" s="169"/>
      <c r="B75" s="151" t="s">
        <v>288</v>
      </c>
      <c r="C75" s="155">
        <v>300</v>
      </c>
      <c r="D75" s="189">
        <v>132</v>
      </c>
      <c r="E75" s="186">
        <f t="shared" si="0"/>
        <v>-168</v>
      </c>
      <c r="F75" s="114">
        <f>D75/C75*100</f>
        <v>44</v>
      </c>
      <c r="G75" s="122" t="s">
        <v>400</v>
      </c>
    </row>
    <row r="76" spans="1:7" ht="47.25" x14ac:dyDescent="0.25">
      <c r="A76" s="169"/>
      <c r="B76" s="151" t="s">
        <v>289</v>
      </c>
      <c r="C76" s="181">
        <f>C74/C75</f>
        <v>5.7152666666666665</v>
      </c>
      <c r="D76" s="189">
        <v>1.66</v>
      </c>
      <c r="E76" s="186">
        <f t="shared" si="0"/>
        <v>-4.0552666666666664</v>
      </c>
      <c r="F76" s="114">
        <f>D76/C76*100</f>
        <v>29.045013939273755</v>
      </c>
      <c r="G76" s="122" t="s">
        <v>400</v>
      </c>
    </row>
    <row r="77" spans="1:7" ht="84" customHeight="1" x14ac:dyDescent="0.25">
      <c r="A77" s="169"/>
      <c r="B77" s="151" t="s">
        <v>290</v>
      </c>
      <c r="C77" s="152">
        <v>100</v>
      </c>
      <c r="D77" s="189">
        <v>55.2</v>
      </c>
      <c r="E77" s="186">
        <f t="shared" si="0"/>
        <v>-44.8</v>
      </c>
      <c r="F77" s="114">
        <f>D77/C77*100</f>
        <v>55.2</v>
      </c>
      <c r="G77" s="122" t="s">
        <v>400</v>
      </c>
    </row>
    <row r="78" spans="1:7" x14ac:dyDescent="0.25">
      <c r="A78" s="169"/>
      <c r="B78" s="1136" t="s">
        <v>74</v>
      </c>
      <c r="C78" s="1137"/>
      <c r="D78" s="1137"/>
      <c r="E78" s="1137"/>
      <c r="F78" s="1137"/>
      <c r="G78" s="1138"/>
    </row>
    <row r="79" spans="1:7" ht="63" x14ac:dyDescent="0.25">
      <c r="A79" s="169"/>
      <c r="B79" s="151" t="s">
        <v>291</v>
      </c>
      <c r="C79" s="155">
        <v>300</v>
      </c>
      <c r="D79" s="143">
        <v>100</v>
      </c>
      <c r="E79" s="136">
        <f t="shared" si="0"/>
        <v>-200</v>
      </c>
      <c r="F79" s="114">
        <f>D79/C79*100</f>
        <v>33.333333333333329</v>
      </c>
      <c r="G79" s="122" t="s">
        <v>400</v>
      </c>
    </row>
    <row r="80" spans="1:7" ht="78.75" x14ac:dyDescent="0.25">
      <c r="A80" s="169"/>
      <c r="B80" s="151" t="s">
        <v>295</v>
      </c>
      <c r="C80" s="152">
        <v>99.5</v>
      </c>
      <c r="D80" s="161">
        <v>100</v>
      </c>
      <c r="E80" s="136">
        <f t="shared" si="0"/>
        <v>0.5</v>
      </c>
      <c r="F80" s="114">
        <f>D80/C80*100</f>
        <v>100.50251256281406</v>
      </c>
      <c r="G80" s="122" t="s">
        <v>400</v>
      </c>
    </row>
    <row r="81" spans="1:24" ht="39" customHeight="1" x14ac:dyDescent="0.25">
      <c r="A81" s="169" t="s">
        <v>75</v>
      </c>
      <c r="B81" s="1166" t="s">
        <v>76</v>
      </c>
      <c r="C81" s="1167"/>
      <c r="D81" s="1167"/>
      <c r="E81" s="1167"/>
      <c r="F81" s="1167"/>
      <c r="G81" s="1168"/>
    </row>
    <row r="82" spans="1:24" x14ac:dyDescent="0.25">
      <c r="A82" s="169"/>
      <c r="B82" s="151" t="s">
        <v>249</v>
      </c>
      <c r="C82" s="175">
        <v>150</v>
      </c>
      <c r="D82" s="161">
        <v>22.44</v>
      </c>
      <c r="E82" s="165">
        <f t="shared" si="0"/>
        <v>-127.56</v>
      </c>
      <c r="F82" s="118">
        <f>D82/C82*100</f>
        <v>14.96</v>
      </c>
      <c r="G82" s="122" t="s">
        <v>400</v>
      </c>
    </row>
    <row r="83" spans="1:24" ht="63" x14ac:dyDescent="0.25">
      <c r="A83" s="169"/>
      <c r="B83" s="151" t="s">
        <v>292</v>
      </c>
      <c r="C83" s="155">
        <v>60</v>
      </c>
      <c r="D83" s="161">
        <v>294</v>
      </c>
      <c r="E83" s="136">
        <f t="shared" si="0"/>
        <v>234</v>
      </c>
      <c r="F83" s="114">
        <f>D83/C83*100</f>
        <v>490.00000000000006</v>
      </c>
      <c r="G83" s="122" t="s">
        <v>400</v>
      </c>
    </row>
    <row r="84" spans="1:24" ht="31.5" x14ac:dyDescent="0.25">
      <c r="A84" s="169"/>
      <c r="B84" s="151" t="s">
        <v>293</v>
      </c>
      <c r="C84" s="181">
        <f>C82/C83</f>
        <v>2.5</v>
      </c>
      <c r="D84" s="161">
        <f>D82/D83</f>
        <v>7.6326530612244897E-2</v>
      </c>
      <c r="E84" s="136">
        <f t="shared" si="0"/>
        <v>-2.4236734693877553</v>
      </c>
      <c r="F84" s="114">
        <f>D84/C84*100</f>
        <v>3.0530612244897957</v>
      </c>
      <c r="G84" s="122" t="s">
        <v>400</v>
      </c>
    </row>
    <row r="85" spans="1:24" ht="47.25" x14ac:dyDescent="0.25">
      <c r="A85" s="169"/>
      <c r="B85" s="151" t="s">
        <v>294</v>
      </c>
      <c r="C85" s="155">
        <v>75</v>
      </c>
      <c r="D85" s="161">
        <v>0</v>
      </c>
      <c r="E85" s="136">
        <f t="shared" si="0"/>
        <v>-75</v>
      </c>
      <c r="F85" s="114">
        <f>D85/C85*100</f>
        <v>0</v>
      </c>
      <c r="G85" s="122" t="s">
        <v>400</v>
      </c>
    </row>
    <row r="86" spans="1:24" x14ac:dyDescent="0.25">
      <c r="A86" s="128" t="s">
        <v>78</v>
      </c>
      <c r="B86" s="1133" t="s">
        <v>77</v>
      </c>
      <c r="C86" s="1134"/>
      <c r="D86" s="1134"/>
      <c r="E86" s="1134"/>
      <c r="F86" s="1134"/>
      <c r="G86" s="1135"/>
    </row>
    <row r="87" spans="1:24" ht="23.25" customHeight="1" x14ac:dyDescent="0.25">
      <c r="A87" s="190" t="s">
        <v>296</v>
      </c>
      <c r="B87" s="1136" t="s">
        <v>79</v>
      </c>
      <c r="C87" s="1137"/>
      <c r="D87" s="1137"/>
      <c r="E87" s="1137"/>
      <c r="F87" s="1137"/>
      <c r="G87" s="1138"/>
    </row>
    <row r="88" spans="1:24" ht="132.75" customHeight="1" x14ac:dyDescent="0.25">
      <c r="A88" s="128"/>
      <c r="B88" s="176" t="s">
        <v>249</v>
      </c>
      <c r="C88" s="155">
        <v>6653.18</v>
      </c>
      <c r="D88" s="191">
        <v>585.12</v>
      </c>
      <c r="E88" s="191">
        <f>D88-C88</f>
        <v>-6068.06</v>
      </c>
      <c r="F88" s="192">
        <f>D88/C88*100</f>
        <v>8.7945914585205873</v>
      </c>
      <c r="G88" s="193" t="s">
        <v>393</v>
      </c>
    </row>
    <row r="89" spans="1:24" x14ac:dyDescent="0.25">
      <c r="A89" s="128"/>
      <c r="B89" s="151" t="s">
        <v>238</v>
      </c>
      <c r="C89" s="163"/>
      <c r="D89" s="194"/>
      <c r="E89" s="194"/>
      <c r="F89" s="195"/>
      <c r="G89" s="193"/>
    </row>
    <row r="90" spans="1:24" x14ac:dyDescent="0.25">
      <c r="A90" s="128"/>
      <c r="B90" s="196" t="s">
        <v>240</v>
      </c>
      <c r="C90" s="152">
        <v>160000</v>
      </c>
      <c r="D90" s="191">
        <v>55311</v>
      </c>
      <c r="E90" s="191">
        <f t="shared" ref="E90:E113" si="1">D90-C90</f>
        <v>-104689</v>
      </c>
      <c r="F90" s="192">
        <f t="shared" ref="F90:F113" si="2">D90/C90*100</f>
        <v>34.569375000000001</v>
      </c>
      <c r="G90" s="122" t="s">
        <v>400</v>
      </c>
    </row>
    <row r="91" spans="1:24" x14ac:dyDescent="0.25">
      <c r="A91" s="128"/>
      <c r="B91" s="196" t="s">
        <v>239</v>
      </c>
      <c r="C91" s="152">
        <v>3520</v>
      </c>
      <c r="D91" s="191">
        <v>1685</v>
      </c>
      <c r="E91" s="191">
        <f t="shared" si="1"/>
        <v>-1835</v>
      </c>
      <c r="F91" s="192">
        <f t="shared" si="2"/>
        <v>47.86931818181818</v>
      </c>
      <c r="G91" s="122" t="s">
        <v>400</v>
      </c>
    </row>
    <row r="92" spans="1:24" s="198" customFormat="1" ht="48" customHeight="1" x14ac:dyDescent="0.25">
      <c r="A92" s="197" t="s">
        <v>297</v>
      </c>
      <c r="B92" s="1136" t="s">
        <v>326</v>
      </c>
      <c r="C92" s="1137"/>
      <c r="D92" s="1137"/>
      <c r="E92" s="1137"/>
      <c r="F92" s="1137"/>
      <c r="G92" s="1138"/>
      <c r="H92" s="124"/>
      <c r="I92" s="124"/>
      <c r="J92" s="124"/>
      <c r="K92" s="124"/>
      <c r="L92" s="124"/>
      <c r="M92" s="124"/>
      <c r="N92" s="124"/>
      <c r="O92" s="124"/>
      <c r="P92" s="124"/>
      <c r="Q92" s="124"/>
      <c r="R92" s="124"/>
      <c r="S92" s="124"/>
      <c r="T92" s="124"/>
      <c r="U92" s="124"/>
      <c r="V92" s="124"/>
      <c r="W92" s="124"/>
      <c r="X92" s="124"/>
    </row>
    <row r="93" spans="1:24" ht="47.25" x14ac:dyDescent="0.25">
      <c r="A93" s="128"/>
      <c r="B93" s="183" t="s">
        <v>304</v>
      </c>
      <c r="C93" s="199">
        <v>33</v>
      </c>
      <c r="D93" s="191">
        <v>58</v>
      </c>
      <c r="E93" s="191">
        <f t="shared" si="1"/>
        <v>25</v>
      </c>
      <c r="F93" s="192">
        <f t="shared" si="2"/>
        <v>175.75757575757575</v>
      </c>
      <c r="G93" s="122" t="s">
        <v>403</v>
      </c>
    </row>
    <row r="94" spans="1:24" ht="47.25" x14ac:dyDescent="0.25">
      <c r="A94" s="200"/>
      <c r="B94" s="151" t="s">
        <v>305</v>
      </c>
      <c r="C94" s="155">
        <v>40</v>
      </c>
      <c r="D94" s="201">
        <v>0</v>
      </c>
      <c r="E94" s="191">
        <f t="shared" si="1"/>
        <v>-40</v>
      </c>
      <c r="F94" s="191">
        <f t="shared" si="2"/>
        <v>0</v>
      </c>
      <c r="G94" s="122" t="s">
        <v>403</v>
      </c>
    </row>
    <row r="95" spans="1:24" s="198" customFormat="1" ht="25.5" customHeight="1" x14ac:dyDescent="0.25">
      <c r="A95" s="197" t="s">
        <v>298</v>
      </c>
      <c r="B95" s="1136" t="s">
        <v>82</v>
      </c>
      <c r="C95" s="1137"/>
      <c r="D95" s="1137"/>
      <c r="E95" s="1137"/>
      <c r="F95" s="1137"/>
      <c r="G95" s="1138"/>
      <c r="H95" s="124"/>
      <c r="I95" s="124"/>
      <c r="J95" s="124"/>
      <c r="K95" s="124"/>
      <c r="L95" s="124"/>
      <c r="M95" s="124"/>
      <c r="N95" s="124"/>
      <c r="O95" s="124"/>
      <c r="P95" s="124"/>
      <c r="Q95" s="124"/>
      <c r="R95" s="124"/>
      <c r="S95" s="124"/>
      <c r="T95" s="124"/>
      <c r="U95" s="124"/>
      <c r="V95" s="124"/>
      <c r="W95" s="124"/>
      <c r="X95" s="124"/>
    </row>
    <row r="96" spans="1:24" ht="54" customHeight="1" x14ac:dyDescent="0.25">
      <c r="A96" s="128"/>
      <c r="B96" s="151" t="s">
        <v>300</v>
      </c>
      <c r="C96" s="152">
        <v>10</v>
      </c>
      <c r="D96" s="191">
        <v>3</v>
      </c>
      <c r="E96" s="191">
        <f t="shared" si="1"/>
        <v>-7</v>
      </c>
      <c r="F96" s="191">
        <f t="shared" si="2"/>
        <v>30</v>
      </c>
      <c r="G96" s="122" t="s">
        <v>400</v>
      </c>
    </row>
    <row r="97" spans="1:24" ht="75" customHeight="1" x14ac:dyDescent="0.25">
      <c r="A97" s="128"/>
      <c r="B97" s="151" t="s">
        <v>301</v>
      </c>
      <c r="C97" s="152">
        <v>40</v>
      </c>
      <c r="D97" s="191">
        <v>12</v>
      </c>
      <c r="E97" s="191">
        <f t="shared" si="1"/>
        <v>-28</v>
      </c>
      <c r="F97" s="191">
        <f t="shared" si="2"/>
        <v>30</v>
      </c>
      <c r="G97" s="122" t="s">
        <v>400</v>
      </c>
    </row>
    <row r="98" spans="1:24" s="198" customFormat="1" ht="38.25" customHeight="1" x14ac:dyDescent="0.25">
      <c r="A98" s="197" t="s">
        <v>299</v>
      </c>
      <c r="B98" s="1136" t="s">
        <v>84</v>
      </c>
      <c r="C98" s="1137"/>
      <c r="D98" s="1137"/>
      <c r="E98" s="1137"/>
      <c r="F98" s="1137"/>
      <c r="G98" s="1138"/>
      <c r="H98" s="124"/>
      <c r="I98" s="124"/>
      <c r="J98" s="124"/>
      <c r="K98" s="124"/>
      <c r="L98" s="124"/>
      <c r="M98" s="124"/>
      <c r="N98" s="124"/>
      <c r="O98" s="124"/>
      <c r="P98" s="124"/>
      <c r="Q98" s="124"/>
      <c r="R98" s="124"/>
      <c r="S98" s="124"/>
      <c r="T98" s="124"/>
      <c r="U98" s="124"/>
      <c r="V98" s="124"/>
      <c r="W98" s="124"/>
      <c r="X98" s="124"/>
    </row>
    <row r="99" spans="1:24" ht="47.25" x14ac:dyDescent="0.25">
      <c r="A99" s="128"/>
      <c r="B99" s="183" t="s">
        <v>302</v>
      </c>
      <c r="C99" s="179">
        <v>25</v>
      </c>
      <c r="D99" s="191">
        <v>0</v>
      </c>
      <c r="E99" s="191">
        <f t="shared" si="1"/>
        <v>-25</v>
      </c>
      <c r="F99" s="191">
        <f t="shared" si="2"/>
        <v>0</v>
      </c>
      <c r="G99" s="122" t="s">
        <v>400</v>
      </c>
    </row>
    <row r="100" spans="1:24" ht="47.25" x14ac:dyDescent="0.25">
      <c r="A100" s="200"/>
      <c r="B100" s="151" t="s">
        <v>303</v>
      </c>
      <c r="C100" s="152">
        <v>50</v>
      </c>
      <c r="D100" s="201">
        <v>0</v>
      </c>
      <c r="E100" s="191">
        <f t="shared" si="1"/>
        <v>-50</v>
      </c>
      <c r="F100" s="191">
        <f t="shared" si="2"/>
        <v>0</v>
      </c>
      <c r="G100" s="122" t="s">
        <v>400</v>
      </c>
    </row>
    <row r="101" spans="1:24" s="198" customFormat="1" ht="21.75" customHeight="1" x14ac:dyDescent="0.25">
      <c r="A101" s="197" t="s">
        <v>306</v>
      </c>
      <c r="B101" s="1136" t="s">
        <v>86</v>
      </c>
      <c r="C101" s="1137"/>
      <c r="D101" s="1137"/>
      <c r="E101" s="1137"/>
      <c r="F101" s="1137"/>
      <c r="G101" s="1138"/>
      <c r="H101" s="124"/>
      <c r="I101" s="124"/>
      <c r="J101" s="124"/>
      <c r="K101" s="124"/>
      <c r="L101" s="124"/>
      <c r="M101" s="124"/>
      <c r="N101" s="124"/>
      <c r="O101" s="124"/>
      <c r="P101" s="124"/>
      <c r="Q101" s="124"/>
      <c r="R101" s="124"/>
      <c r="S101" s="124"/>
      <c r="T101" s="124"/>
      <c r="U101" s="124"/>
      <c r="V101" s="124"/>
      <c r="W101" s="124"/>
      <c r="X101" s="124"/>
    </row>
    <row r="102" spans="1:24" ht="31.5" x14ac:dyDescent="0.25">
      <c r="A102" s="200"/>
      <c r="B102" s="151" t="s">
        <v>307</v>
      </c>
      <c r="C102" s="163">
        <v>1200</v>
      </c>
      <c r="D102" s="202">
        <v>0</v>
      </c>
      <c r="E102" s="194">
        <f t="shared" si="1"/>
        <v>-1200</v>
      </c>
      <c r="F102" s="194">
        <f t="shared" si="2"/>
        <v>0</v>
      </c>
      <c r="G102" s="193" t="s">
        <v>390</v>
      </c>
    </row>
    <row r="103" spans="1:24" ht="31.5" x14ac:dyDescent="0.25">
      <c r="A103" s="200"/>
      <c r="B103" s="151" t="s">
        <v>308</v>
      </c>
      <c r="C103" s="152">
        <v>2</v>
      </c>
      <c r="D103" s="201">
        <v>0</v>
      </c>
      <c r="E103" s="191">
        <f t="shared" si="1"/>
        <v>-2</v>
      </c>
      <c r="F103" s="191">
        <f t="shared" si="2"/>
        <v>0</v>
      </c>
      <c r="G103" s="122" t="s">
        <v>400</v>
      </c>
    </row>
    <row r="104" spans="1:24" ht="47.25" x14ac:dyDescent="0.25">
      <c r="A104" s="200"/>
      <c r="B104" s="151" t="s">
        <v>309</v>
      </c>
      <c r="C104" s="155">
        <v>450</v>
      </c>
      <c r="D104" s="201">
        <v>0</v>
      </c>
      <c r="E104" s="191">
        <f t="shared" si="1"/>
        <v>-450</v>
      </c>
      <c r="F104" s="191">
        <f t="shared" si="2"/>
        <v>0</v>
      </c>
      <c r="G104" s="122" t="s">
        <v>400</v>
      </c>
    </row>
    <row r="105" spans="1:24" ht="47.25" x14ac:dyDescent="0.25">
      <c r="A105" s="200"/>
      <c r="B105" s="151" t="s">
        <v>310</v>
      </c>
      <c r="C105" s="152">
        <v>600</v>
      </c>
      <c r="D105" s="201">
        <v>0</v>
      </c>
      <c r="E105" s="191">
        <f t="shared" si="1"/>
        <v>-600</v>
      </c>
      <c r="F105" s="191">
        <f t="shared" si="2"/>
        <v>0</v>
      </c>
      <c r="G105" s="122" t="s">
        <v>400</v>
      </c>
    </row>
    <row r="106" spans="1:24" ht="63" x14ac:dyDescent="0.25">
      <c r="A106" s="200"/>
      <c r="B106" s="151" t="s">
        <v>311</v>
      </c>
      <c r="C106" s="152">
        <v>60</v>
      </c>
      <c r="D106" s="201">
        <v>0</v>
      </c>
      <c r="E106" s="191">
        <f t="shared" si="1"/>
        <v>-60</v>
      </c>
      <c r="F106" s="191">
        <f t="shared" si="2"/>
        <v>0</v>
      </c>
      <c r="G106" s="122" t="s">
        <v>400</v>
      </c>
    </row>
    <row r="107" spans="1:24" ht="23.25" customHeight="1" x14ac:dyDescent="0.25">
      <c r="A107" s="128" t="s">
        <v>312</v>
      </c>
      <c r="B107" s="1136" t="s">
        <v>89</v>
      </c>
      <c r="C107" s="1137"/>
      <c r="D107" s="1137"/>
      <c r="E107" s="1137"/>
      <c r="F107" s="1137"/>
      <c r="G107" s="1138"/>
    </row>
    <row r="108" spans="1:24" x14ac:dyDescent="0.25">
      <c r="A108" s="128"/>
      <c r="B108" s="151" t="s">
        <v>249</v>
      </c>
      <c r="C108" s="163">
        <v>1200.7</v>
      </c>
      <c r="D108" s="194">
        <v>238.56</v>
      </c>
      <c r="E108" s="194">
        <f t="shared" si="1"/>
        <v>-962.1400000000001</v>
      </c>
      <c r="F108" s="195">
        <f t="shared" si="2"/>
        <v>19.86841009411177</v>
      </c>
      <c r="G108" s="122" t="s">
        <v>400</v>
      </c>
    </row>
    <row r="109" spans="1:24" ht="31.5" x14ac:dyDescent="0.25">
      <c r="A109" s="128"/>
      <c r="B109" s="151" t="s">
        <v>314</v>
      </c>
      <c r="C109" s="152">
        <v>2170</v>
      </c>
      <c r="D109" s="191">
        <v>470</v>
      </c>
      <c r="E109" s="191">
        <f t="shared" si="1"/>
        <v>-1700</v>
      </c>
      <c r="F109" s="192">
        <f t="shared" si="2"/>
        <v>21.658986175115206</v>
      </c>
      <c r="G109" s="122" t="s">
        <v>400</v>
      </c>
    </row>
    <row r="110" spans="1:24" ht="31.5" x14ac:dyDescent="0.25">
      <c r="A110" s="128"/>
      <c r="B110" s="151" t="s">
        <v>315</v>
      </c>
      <c r="C110" s="155">
        <v>0.55000000000000004</v>
      </c>
      <c r="D110" s="203">
        <f>D108/D109</f>
        <v>0.50757446808510642</v>
      </c>
      <c r="E110" s="203">
        <f t="shared" si="1"/>
        <v>-4.2425531914893622E-2</v>
      </c>
      <c r="F110" s="192">
        <f t="shared" si="2"/>
        <v>92.286266924564799</v>
      </c>
      <c r="G110" s="122" t="s">
        <v>400</v>
      </c>
    </row>
    <row r="111" spans="1:24" ht="47.25" x14ac:dyDescent="0.25">
      <c r="A111" s="128"/>
      <c r="B111" s="151" t="s">
        <v>316</v>
      </c>
      <c r="C111" s="152">
        <v>5</v>
      </c>
      <c r="D111" s="191">
        <v>4.7</v>
      </c>
      <c r="E111" s="191">
        <f t="shared" si="1"/>
        <v>-0.29999999999999982</v>
      </c>
      <c r="F111" s="191">
        <f t="shared" si="2"/>
        <v>94</v>
      </c>
      <c r="G111" s="122" t="s">
        <v>400</v>
      </c>
    </row>
    <row r="112" spans="1:24" s="198" customFormat="1" ht="23.25" customHeight="1" x14ac:dyDescent="0.25">
      <c r="A112" s="197" t="s">
        <v>313</v>
      </c>
      <c r="B112" s="1136" t="s">
        <v>95</v>
      </c>
      <c r="C112" s="1137"/>
      <c r="D112" s="1137"/>
      <c r="E112" s="1137"/>
      <c r="F112" s="1137"/>
      <c r="G112" s="1138"/>
      <c r="H112" s="124"/>
      <c r="I112" s="124"/>
      <c r="J112" s="124"/>
      <c r="K112" s="124"/>
      <c r="L112" s="124"/>
      <c r="M112" s="124"/>
      <c r="N112" s="124"/>
      <c r="O112" s="124"/>
      <c r="P112" s="124"/>
      <c r="Q112" s="124"/>
      <c r="R112" s="124"/>
      <c r="S112" s="124"/>
      <c r="T112" s="124"/>
      <c r="U112" s="124"/>
      <c r="V112" s="124"/>
      <c r="W112" s="124"/>
      <c r="X112" s="124"/>
    </row>
    <row r="113" spans="1:24" ht="47.25" x14ac:dyDescent="0.25">
      <c r="A113" s="128"/>
      <c r="B113" s="151" t="s">
        <v>317</v>
      </c>
      <c r="C113" s="152">
        <v>15</v>
      </c>
      <c r="D113" s="191">
        <v>0</v>
      </c>
      <c r="E113" s="191">
        <f t="shared" si="1"/>
        <v>-15</v>
      </c>
      <c r="F113" s="191">
        <f t="shared" si="2"/>
        <v>0</v>
      </c>
      <c r="G113" s="122" t="s">
        <v>400</v>
      </c>
    </row>
    <row r="114" spans="1:24" ht="47.25" x14ac:dyDescent="0.25">
      <c r="A114" s="128"/>
      <c r="B114" s="151" t="s">
        <v>318</v>
      </c>
      <c r="C114" s="163"/>
      <c r="D114" s="146"/>
      <c r="E114" s="204"/>
      <c r="F114" s="204"/>
      <c r="G114" s="146"/>
    </row>
    <row r="115" spans="1:24" x14ac:dyDescent="0.25">
      <c r="A115" s="205" t="s">
        <v>98</v>
      </c>
      <c r="B115" s="1169" t="s">
        <v>97</v>
      </c>
      <c r="C115" s="1169"/>
      <c r="D115" s="1169"/>
      <c r="E115" s="1169"/>
      <c r="F115" s="1169"/>
      <c r="G115" s="1169"/>
    </row>
    <row r="116" spans="1:24" x14ac:dyDescent="0.25">
      <c r="A116" s="207"/>
      <c r="B116" s="1169" t="s">
        <v>100</v>
      </c>
      <c r="C116" s="1169"/>
      <c r="D116" s="1169"/>
      <c r="E116" s="1169"/>
      <c r="F116" s="1169"/>
      <c r="G116" s="1169"/>
    </row>
    <row r="117" spans="1:24" ht="63" x14ac:dyDescent="0.25">
      <c r="A117" s="207"/>
      <c r="B117" s="146" t="s">
        <v>210</v>
      </c>
      <c r="C117" s="116">
        <v>500</v>
      </c>
      <c r="D117" s="117">
        <v>143</v>
      </c>
      <c r="E117" s="143">
        <f t="shared" ref="E117:E124" si="3">D117-C117</f>
        <v>-357</v>
      </c>
      <c r="F117" s="143">
        <f>D117/C117*100</f>
        <v>28.599999999999998</v>
      </c>
      <c r="G117" s="122" t="s">
        <v>402</v>
      </c>
    </row>
    <row r="118" spans="1:24" ht="63" x14ac:dyDescent="0.25">
      <c r="A118" s="207"/>
      <c r="B118" s="146" t="s">
        <v>211</v>
      </c>
      <c r="C118" s="114">
        <v>50</v>
      </c>
      <c r="D118" s="143">
        <v>24</v>
      </c>
      <c r="E118" s="143">
        <f t="shared" si="3"/>
        <v>-26</v>
      </c>
      <c r="F118" s="143">
        <f>D118/C118*100</f>
        <v>48</v>
      </c>
      <c r="G118" s="122" t="s">
        <v>400</v>
      </c>
    </row>
    <row r="119" spans="1:24" s="149" customFormat="1" x14ac:dyDescent="0.25">
      <c r="A119" s="208"/>
      <c r="B119" s="1142" t="s">
        <v>101</v>
      </c>
      <c r="C119" s="1142"/>
      <c r="D119" s="1142"/>
      <c r="E119" s="1142"/>
      <c r="F119" s="1142"/>
      <c r="G119" s="1143"/>
      <c r="H119" s="124"/>
      <c r="I119" s="124"/>
      <c r="J119" s="124"/>
      <c r="K119" s="124"/>
      <c r="L119" s="124"/>
      <c r="M119" s="124"/>
      <c r="N119" s="124"/>
      <c r="O119" s="124"/>
      <c r="P119" s="124"/>
      <c r="Q119" s="124"/>
      <c r="R119" s="124"/>
      <c r="S119" s="124"/>
      <c r="T119" s="124"/>
      <c r="U119" s="124"/>
      <c r="V119" s="124"/>
      <c r="W119" s="124"/>
      <c r="X119" s="124"/>
    </row>
    <row r="120" spans="1:24" ht="63" x14ac:dyDescent="0.25">
      <c r="A120" s="209"/>
      <c r="B120" s="123" t="s">
        <v>212</v>
      </c>
      <c r="C120" s="116">
        <v>20</v>
      </c>
      <c r="D120" s="117">
        <v>39</v>
      </c>
      <c r="E120" s="143">
        <f t="shared" si="3"/>
        <v>19</v>
      </c>
      <c r="F120" s="143">
        <f>D120/C120*100</f>
        <v>195</v>
      </c>
      <c r="G120" s="122" t="s">
        <v>402</v>
      </c>
    </row>
    <row r="121" spans="1:24" ht="47.25" x14ac:dyDescent="0.25">
      <c r="A121" s="210"/>
      <c r="B121" s="123" t="s">
        <v>213</v>
      </c>
      <c r="C121" s="116">
        <v>23</v>
      </c>
      <c r="D121" s="117">
        <v>30</v>
      </c>
      <c r="E121" s="143">
        <f t="shared" si="3"/>
        <v>7</v>
      </c>
      <c r="F121" s="143">
        <f>D121/C121*100</f>
        <v>130.43478260869566</v>
      </c>
      <c r="G121" s="122" t="s">
        <v>400</v>
      </c>
    </row>
    <row r="122" spans="1:24" x14ac:dyDescent="0.25">
      <c r="A122" s="211" t="s">
        <v>103</v>
      </c>
      <c r="B122" s="1133" t="s">
        <v>102</v>
      </c>
      <c r="C122" s="1134"/>
      <c r="D122" s="1134"/>
      <c r="E122" s="1134"/>
      <c r="F122" s="1134"/>
      <c r="G122" s="1135"/>
    </row>
    <row r="123" spans="1:24" ht="47.25" x14ac:dyDescent="0.25">
      <c r="A123" s="159"/>
      <c r="B123" s="134" t="s">
        <v>214</v>
      </c>
      <c r="C123" s="114">
        <v>15100</v>
      </c>
      <c r="D123" s="114">
        <v>11981</v>
      </c>
      <c r="E123" s="143">
        <f t="shared" si="3"/>
        <v>-3119</v>
      </c>
      <c r="F123" s="143">
        <f>D123/C123*100</f>
        <v>79.344370860927143</v>
      </c>
      <c r="G123" s="122" t="s">
        <v>400</v>
      </c>
    </row>
    <row r="124" spans="1:24" ht="63" x14ac:dyDescent="0.25">
      <c r="A124" s="144"/>
      <c r="B124" s="134" t="s">
        <v>215</v>
      </c>
      <c r="C124" s="114">
        <v>63.3</v>
      </c>
      <c r="D124" s="114">
        <v>51</v>
      </c>
      <c r="E124" s="143">
        <f t="shared" si="3"/>
        <v>-12.299999999999997</v>
      </c>
      <c r="F124" s="143">
        <f>D124/C124*100</f>
        <v>80.568720379146924</v>
      </c>
      <c r="G124" s="122" t="s">
        <v>400</v>
      </c>
    </row>
    <row r="125" spans="1:24" ht="33.75" customHeight="1" x14ac:dyDescent="0.25">
      <c r="A125" s="205" t="s">
        <v>105</v>
      </c>
      <c r="B125" s="1136" t="s">
        <v>104</v>
      </c>
      <c r="C125" s="1137"/>
      <c r="D125" s="1137"/>
      <c r="E125" s="1137"/>
      <c r="F125" s="1137"/>
      <c r="G125" s="1138"/>
    </row>
    <row r="126" spans="1:24" ht="21.75" customHeight="1" x14ac:dyDescent="0.25">
      <c r="A126" s="205" t="s">
        <v>1</v>
      </c>
      <c r="B126" s="1136" t="s">
        <v>106</v>
      </c>
      <c r="C126" s="1137"/>
      <c r="D126" s="1137"/>
      <c r="E126" s="1137"/>
      <c r="F126" s="1137"/>
      <c r="G126" s="1138"/>
    </row>
    <row r="127" spans="1:24" ht="138.75" customHeight="1" x14ac:dyDescent="0.25">
      <c r="A127" s="205"/>
      <c r="B127" s="176" t="s">
        <v>287</v>
      </c>
      <c r="C127" s="163">
        <v>715.14</v>
      </c>
      <c r="D127" s="202">
        <v>972.14</v>
      </c>
      <c r="E127" s="194">
        <f>D127-C127</f>
        <v>257</v>
      </c>
      <c r="F127" s="195">
        <f>D127/C127*100</f>
        <v>135.93701932488744</v>
      </c>
      <c r="G127" s="193" t="s">
        <v>394</v>
      </c>
    </row>
    <row r="128" spans="1:24" ht="31.5" x14ac:dyDescent="0.25">
      <c r="A128" s="205"/>
      <c r="B128" s="151" t="s">
        <v>319</v>
      </c>
      <c r="C128" s="152">
        <v>2400</v>
      </c>
      <c r="D128" s="201">
        <v>890</v>
      </c>
      <c r="E128" s="191">
        <f t="shared" ref="E128:E136" si="4">D128-C128</f>
        <v>-1510</v>
      </c>
      <c r="F128" s="192">
        <f t="shared" ref="F128:F136" si="5">D128/C128*100</f>
        <v>37.083333333333336</v>
      </c>
      <c r="G128" s="122" t="s">
        <v>400</v>
      </c>
    </row>
    <row r="129" spans="1:24" ht="47.25" x14ac:dyDescent="0.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x14ac:dyDescent="0.25">
      <c r="A130" s="205"/>
      <c r="B130" s="151" t="s">
        <v>323</v>
      </c>
      <c r="C130" s="152">
        <v>68</v>
      </c>
      <c r="D130" s="191">
        <v>52.8</v>
      </c>
      <c r="E130" s="191">
        <f t="shared" si="4"/>
        <v>-15.200000000000003</v>
      </c>
      <c r="F130" s="192">
        <f t="shared" si="5"/>
        <v>77.647058823529406</v>
      </c>
      <c r="G130" s="122" t="s">
        <v>400</v>
      </c>
    </row>
    <row r="131" spans="1:24" ht="21" customHeight="1" x14ac:dyDescent="0.25">
      <c r="A131" s="205" t="s">
        <v>327</v>
      </c>
      <c r="B131" s="1166" t="s">
        <v>107</v>
      </c>
      <c r="C131" s="1167"/>
      <c r="D131" s="1167"/>
      <c r="E131" s="1167"/>
      <c r="F131" s="1167"/>
      <c r="G131" s="1168"/>
    </row>
    <row r="132" spans="1:24" ht="78.75" x14ac:dyDescent="0.25">
      <c r="A132" s="205"/>
      <c r="B132" s="151" t="s">
        <v>321</v>
      </c>
      <c r="C132" s="152">
        <v>68</v>
      </c>
      <c r="D132" s="191">
        <v>0</v>
      </c>
      <c r="E132" s="191">
        <f t="shared" si="4"/>
        <v>-68</v>
      </c>
      <c r="F132" s="191">
        <f t="shared" si="5"/>
        <v>0</v>
      </c>
      <c r="G132" s="122" t="s">
        <v>400</v>
      </c>
    </row>
    <row r="133" spans="1:24" ht="78.75" x14ac:dyDescent="0.25">
      <c r="A133" s="205"/>
      <c r="B133" s="151" t="s">
        <v>322</v>
      </c>
      <c r="C133" s="152">
        <v>35</v>
      </c>
      <c r="D133" s="191">
        <v>0</v>
      </c>
      <c r="E133" s="191">
        <f t="shared" si="4"/>
        <v>-35</v>
      </c>
      <c r="F133" s="191">
        <f t="shared" si="5"/>
        <v>0</v>
      </c>
      <c r="G133" s="122" t="s">
        <v>400</v>
      </c>
    </row>
    <row r="134" spans="1:24" ht="18.75" customHeight="1" x14ac:dyDescent="0.25">
      <c r="A134" s="205" t="s">
        <v>328</v>
      </c>
      <c r="B134" s="1166" t="s">
        <v>109</v>
      </c>
      <c r="C134" s="1167"/>
      <c r="D134" s="1167"/>
      <c r="E134" s="1167"/>
      <c r="F134" s="1167"/>
      <c r="G134" s="1168"/>
    </row>
    <row r="135" spans="1:24" ht="63" x14ac:dyDescent="0.25">
      <c r="A135" s="205"/>
      <c r="B135" s="151" t="s">
        <v>324</v>
      </c>
      <c r="C135" s="152">
        <v>704</v>
      </c>
      <c r="D135" s="191">
        <v>0</v>
      </c>
      <c r="E135" s="191">
        <f t="shared" si="4"/>
        <v>-704</v>
      </c>
      <c r="F135" s="191">
        <f t="shared" si="5"/>
        <v>0</v>
      </c>
      <c r="G135" s="122" t="s">
        <v>400</v>
      </c>
    </row>
    <row r="136" spans="1:24" ht="78.75" x14ac:dyDescent="0.25">
      <c r="A136" s="205"/>
      <c r="B136" s="151" t="s">
        <v>325</v>
      </c>
      <c r="C136" s="152">
        <v>20</v>
      </c>
      <c r="D136" s="191">
        <v>0</v>
      </c>
      <c r="E136" s="191">
        <f t="shared" si="4"/>
        <v>-20</v>
      </c>
      <c r="F136" s="191">
        <f t="shared" si="5"/>
        <v>0</v>
      </c>
      <c r="G136" s="122" t="s">
        <v>400</v>
      </c>
    </row>
    <row r="137" spans="1:24" x14ac:dyDescent="0.25">
      <c r="A137" s="212" t="s">
        <v>3</v>
      </c>
      <c r="B137" s="1136" t="s">
        <v>110</v>
      </c>
      <c r="C137" s="1137"/>
      <c r="D137" s="1137"/>
      <c r="E137" s="1137"/>
      <c r="F137" s="1137"/>
      <c r="G137" s="1138"/>
    </row>
    <row r="138" spans="1:24" x14ac:dyDescent="0.25">
      <c r="A138" s="213"/>
      <c r="B138" s="123" t="s">
        <v>196</v>
      </c>
      <c r="C138" s="214">
        <v>9390</v>
      </c>
      <c r="D138" s="215">
        <v>615.88</v>
      </c>
      <c r="E138" s="215">
        <f>D138-C138</f>
        <v>-8774.1200000000008</v>
      </c>
      <c r="F138" s="121">
        <f>D138/C138*100</f>
        <v>6.5588924387646435</v>
      </c>
      <c r="G138" s="122" t="s">
        <v>400</v>
      </c>
    </row>
    <row r="139" spans="1:24" ht="31.5" x14ac:dyDescent="0.25">
      <c r="A139" s="209"/>
      <c r="B139" s="123" t="s">
        <v>216</v>
      </c>
      <c r="C139" s="116">
        <v>600</v>
      </c>
      <c r="D139" s="117">
        <v>324</v>
      </c>
      <c r="E139" s="143">
        <f t="shared" ref="E139:E185" si="6">D139-C139</f>
        <v>-276</v>
      </c>
      <c r="F139" s="143">
        <f>D139/C139*100</f>
        <v>54</v>
      </c>
      <c r="G139" s="122" t="s">
        <v>400</v>
      </c>
    </row>
    <row r="140" spans="1:24" ht="31.5" x14ac:dyDescent="0.25">
      <c r="A140" s="209"/>
      <c r="B140" s="123" t="s">
        <v>217</v>
      </c>
      <c r="C140" s="133">
        <f>C138/C139</f>
        <v>15.65</v>
      </c>
      <c r="D140" s="133">
        <f>D138/D139</f>
        <v>1.9008641975308642</v>
      </c>
      <c r="E140" s="142">
        <f t="shared" si="6"/>
        <v>-13.749135802469135</v>
      </c>
      <c r="F140" s="143">
        <f>D140/C140*100</f>
        <v>12.146097108823414</v>
      </c>
      <c r="G140" s="122" t="s">
        <v>400</v>
      </c>
    </row>
    <row r="141" spans="1:24" ht="83.25" customHeight="1" x14ac:dyDescent="0.25">
      <c r="A141" s="210"/>
      <c r="B141" s="123" t="s">
        <v>218</v>
      </c>
      <c r="C141" s="116">
        <v>70</v>
      </c>
      <c r="D141" s="117">
        <v>87.96</v>
      </c>
      <c r="E141" s="143">
        <f t="shared" si="6"/>
        <v>17.959999999999994</v>
      </c>
      <c r="F141" s="143">
        <f>D141/C141*100</f>
        <v>125.65714285714284</v>
      </c>
      <c r="G141" s="122" t="s">
        <v>400</v>
      </c>
    </row>
    <row r="142" spans="1:24" s="149" customFormat="1" x14ac:dyDescent="0.25">
      <c r="A142" s="208" t="s">
        <v>4</v>
      </c>
      <c r="B142" s="1136" t="s">
        <v>111</v>
      </c>
      <c r="C142" s="1137"/>
      <c r="D142" s="1137"/>
      <c r="E142" s="1137"/>
      <c r="F142" s="1137"/>
      <c r="G142" s="1138"/>
      <c r="H142" s="124"/>
      <c r="I142" s="124"/>
      <c r="J142" s="124"/>
      <c r="K142" s="124"/>
      <c r="L142" s="124"/>
      <c r="M142" s="124"/>
      <c r="N142" s="124"/>
      <c r="O142" s="124"/>
      <c r="P142" s="124"/>
      <c r="Q142" s="124"/>
      <c r="R142" s="124"/>
      <c r="S142" s="124"/>
      <c r="T142" s="124"/>
      <c r="U142" s="124"/>
      <c r="V142" s="124"/>
      <c r="W142" s="124"/>
      <c r="X142" s="124"/>
    </row>
    <row r="143" spans="1:24" ht="63" x14ac:dyDescent="0.25">
      <c r="A143" s="213"/>
      <c r="B143" s="123" t="s">
        <v>219</v>
      </c>
      <c r="C143" s="114">
        <v>1267</v>
      </c>
      <c r="D143" s="143">
        <v>249</v>
      </c>
      <c r="E143" s="143">
        <f t="shared" si="6"/>
        <v>-1018</v>
      </c>
      <c r="F143" s="143">
        <f>D143/C143*100</f>
        <v>19.652722967640095</v>
      </c>
      <c r="G143" s="122" t="s">
        <v>400</v>
      </c>
    </row>
    <row r="144" spans="1:24" ht="63" x14ac:dyDescent="0.25">
      <c r="A144" s="210"/>
      <c r="B144" s="123" t="s">
        <v>220</v>
      </c>
      <c r="C144" s="116">
        <v>40</v>
      </c>
      <c r="D144" s="117">
        <v>27.98</v>
      </c>
      <c r="E144" s="143">
        <f t="shared" si="6"/>
        <v>-12.02</v>
      </c>
      <c r="F144" s="143">
        <f>D144/C144*100</f>
        <v>69.95</v>
      </c>
      <c r="G144" s="122" t="s">
        <v>400</v>
      </c>
    </row>
    <row r="145" spans="1:7" ht="21.75" customHeight="1" x14ac:dyDescent="0.25">
      <c r="A145" s="210" t="s">
        <v>329</v>
      </c>
      <c r="B145" s="1136" t="s">
        <v>112</v>
      </c>
      <c r="C145" s="1137"/>
      <c r="D145" s="1137"/>
      <c r="E145" s="1137"/>
      <c r="F145" s="1137"/>
      <c r="G145" s="1138"/>
    </row>
    <row r="146" spans="1:7" ht="88.5" customHeight="1" x14ac:dyDescent="0.25">
      <c r="A146" s="216"/>
      <c r="B146" s="176" t="s">
        <v>307</v>
      </c>
      <c r="C146" s="152">
        <v>881.31</v>
      </c>
      <c r="D146" s="217">
        <v>45.69</v>
      </c>
      <c r="E146" s="143">
        <f t="shared" si="6"/>
        <v>-835.61999999999989</v>
      </c>
      <c r="F146" s="143">
        <f t="shared" ref="F146:F185" si="7">D146/C146*100</f>
        <v>5.1843278755488988</v>
      </c>
      <c r="G146" s="122" t="s">
        <v>395</v>
      </c>
    </row>
    <row r="147" spans="1:7" ht="47.25" x14ac:dyDescent="0.25">
      <c r="A147" s="216"/>
      <c r="B147" s="151" t="s">
        <v>330</v>
      </c>
      <c r="C147" s="155">
        <v>1200</v>
      </c>
      <c r="D147" s="217">
        <v>307</v>
      </c>
      <c r="E147" s="143">
        <f t="shared" si="6"/>
        <v>-893</v>
      </c>
      <c r="F147" s="143">
        <f t="shared" si="7"/>
        <v>25.583333333333336</v>
      </c>
      <c r="G147" s="122" t="s">
        <v>400</v>
      </c>
    </row>
    <row r="148" spans="1:7" ht="47.25" x14ac:dyDescent="0.25">
      <c r="A148" s="216"/>
      <c r="B148" s="151" t="s">
        <v>331</v>
      </c>
      <c r="C148" s="155">
        <v>0.73</v>
      </c>
      <c r="D148" s="182">
        <f>D146/D147</f>
        <v>0.14882736156351792</v>
      </c>
      <c r="E148" s="143">
        <f t="shared" si="6"/>
        <v>-0.58117263843648204</v>
      </c>
      <c r="F148" s="143">
        <f t="shared" si="7"/>
        <v>20.387309803221633</v>
      </c>
      <c r="G148" s="122" t="s">
        <v>400</v>
      </c>
    </row>
    <row r="149" spans="1:7" ht="63" x14ac:dyDescent="0.25">
      <c r="A149" s="216"/>
      <c r="B149" s="151" t="s">
        <v>332</v>
      </c>
      <c r="C149" s="152">
        <v>50</v>
      </c>
      <c r="D149" s="218">
        <v>34.49</v>
      </c>
      <c r="E149" s="143">
        <f t="shared" si="6"/>
        <v>-15.509999999999998</v>
      </c>
      <c r="F149" s="143">
        <f t="shared" si="7"/>
        <v>68.98</v>
      </c>
      <c r="G149" s="122" t="s">
        <v>400</v>
      </c>
    </row>
    <row r="150" spans="1:7" ht="35.25" customHeight="1" x14ac:dyDescent="0.25">
      <c r="A150" s="210" t="s">
        <v>333</v>
      </c>
      <c r="B150" s="1136" t="s">
        <v>114</v>
      </c>
      <c r="C150" s="1137"/>
      <c r="D150" s="1137"/>
      <c r="E150" s="1137"/>
      <c r="F150" s="1137"/>
      <c r="G150" s="1138"/>
    </row>
    <row r="151" spans="1:7" ht="20.25" customHeight="1" x14ac:dyDescent="0.25">
      <c r="A151" s="207" t="s">
        <v>336</v>
      </c>
      <c r="B151" s="1136" t="s">
        <v>334</v>
      </c>
      <c r="C151" s="1137"/>
      <c r="D151" s="1137"/>
      <c r="E151" s="1137"/>
      <c r="F151" s="1137"/>
      <c r="G151" s="1138"/>
    </row>
    <row r="152" spans="1:7" ht="63" x14ac:dyDescent="0.25">
      <c r="A152" s="207"/>
      <c r="B152" s="176" t="s">
        <v>249</v>
      </c>
      <c r="C152" s="163">
        <v>375.54399999999998</v>
      </c>
      <c r="D152" s="120">
        <v>928.27</v>
      </c>
      <c r="E152" s="121">
        <f t="shared" si="6"/>
        <v>552.726</v>
      </c>
      <c r="F152" s="121">
        <f t="shared" si="7"/>
        <v>247.18009074835439</v>
      </c>
      <c r="G152" s="122" t="s">
        <v>391</v>
      </c>
    </row>
    <row r="153" spans="1:7" ht="47.25" x14ac:dyDescent="0.25">
      <c r="A153" s="207"/>
      <c r="B153" s="176" t="s">
        <v>344</v>
      </c>
      <c r="C153" s="152">
        <v>2400</v>
      </c>
      <c r="D153" s="117">
        <v>890</v>
      </c>
      <c r="E153" s="143">
        <f t="shared" si="6"/>
        <v>-1510</v>
      </c>
      <c r="F153" s="143">
        <f t="shared" si="7"/>
        <v>37.083333333333336</v>
      </c>
      <c r="G153" s="122" t="s">
        <v>400</v>
      </c>
    </row>
    <row r="154" spans="1:7" ht="31.5" x14ac:dyDescent="0.2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x14ac:dyDescent="0.25">
      <c r="A155" s="207"/>
      <c r="B155" s="176" t="s">
        <v>346</v>
      </c>
      <c r="C155" s="152">
        <v>100</v>
      </c>
      <c r="D155" s="117">
        <v>100</v>
      </c>
      <c r="E155" s="143">
        <f t="shared" si="6"/>
        <v>0</v>
      </c>
      <c r="F155" s="143">
        <f t="shared" si="7"/>
        <v>100</v>
      </c>
      <c r="G155" s="122" t="s">
        <v>400</v>
      </c>
    </row>
    <row r="156" spans="1:7" x14ac:dyDescent="0.25">
      <c r="A156" s="207" t="s">
        <v>337</v>
      </c>
      <c r="B156" s="1136" t="s">
        <v>120</v>
      </c>
      <c r="C156" s="1137"/>
      <c r="D156" s="1137"/>
      <c r="E156" s="1137"/>
      <c r="F156" s="1137"/>
      <c r="G156" s="1138"/>
    </row>
    <row r="157" spans="1:7" ht="66.75" customHeight="1" x14ac:dyDescent="0.25">
      <c r="A157" s="207"/>
      <c r="B157" s="176" t="s">
        <v>249</v>
      </c>
      <c r="C157" s="152">
        <v>1096.355</v>
      </c>
      <c r="D157" s="117">
        <v>2726.45</v>
      </c>
      <c r="E157" s="143">
        <f t="shared" si="6"/>
        <v>1630.0949999999998</v>
      </c>
      <c r="F157" s="143">
        <f t="shared" si="7"/>
        <v>248.68313639286544</v>
      </c>
      <c r="G157" s="122" t="s">
        <v>391</v>
      </c>
    </row>
    <row r="158" spans="1:7" ht="47.25" x14ac:dyDescent="0.25">
      <c r="A158" s="207"/>
      <c r="B158" s="176" t="s">
        <v>347</v>
      </c>
      <c r="C158" s="152">
        <v>3520</v>
      </c>
      <c r="D158" s="117">
        <v>890</v>
      </c>
      <c r="E158" s="143">
        <f t="shared" si="6"/>
        <v>-2630</v>
      </c>
      <c r="F158" s="143">
        <f t="shared" si="7"/>
        <v>25.28409090909091</v>
      </c>
      <c r="G158" s="122" t="s">
        <v>400</v>
      </c>
    </row>
    <row r="159" spans="1:7" ht="31.5" x14ac:dyDescent="0.25">
      <c r="A159" s="207"/>
      <c r="B159" s="176" t="s">
        <v>348</v>
      </c>
      <c r="C159" s="152">
        <v>0.31</v>
      </c>
      <c r="D159" s="219">
        <f>D157/D158</f>
        <v>3.0634269662921345</v>
      </c>
      <c r="E159" s="143">
        <f t="shared" si="6"/>
        <v>2.7534269662921345</v>
      </c>
      <c r="F159" s="143">
        <f t="shared" si="7"/>
        <v>988.20224719101122</v>
      </c>
      <c r="G159" s="122" t="s">
        <v>400</v>
      </c>
    </row>
    <row r="160" spans="1:7" ht="47.25" x14ac:dyDescent="0.25">
      <c r="A160" s="207"/>
      <c r="B160" s="176" t="s">
        <v>349</v>
      </c>
      <c r="C160" s="152">
        <v>100</v>
      </c>
      <c r="D160" s="117">
        <v>100</v>
      </c>
      <c r="E160" s="143">
        <f t="shared" si="6"/>
        <v>0</v>
      </c>
      <c r="F160" s="143">
        <f t="shared" si="7"/>
        <v>100</v>
      </c>
      <c r="G160" s="122" t="s">
        <v>400</v>
      </c>
    </row>
    <row r="161" spans="1:7" ht="19.5" customHeight="1" x14ac:dyDescent="0.25">
      <c r="A161" s="207" t="s">
        <v>338</v>
      </c>
      <c r="B161" s="1136" t="s">
        <v>121</v>
      </c>
      <c r="C161" s="1137"/>
      <c r="D161" s="1137"/>
      <c r="E161" s="1137"/>
      <c r="F161" s="1137"/>
      <c r="G161" s="1138"/>
    </row>
    <row r="162" spans="1:7" ht="63" x14ac:dyDescent="0.25">
      <c r="A162" s="207"/>
      <c r="B162" s="176" t="s">
        <v>249</v>
      </c>
      <c r="C162" s="152">
        <v>219.542</v>
      </c>
      <c r="D162" s="117">
        <v>120.42</v>
      </c>
      <c r="E162" s="143">
        <f t="shared" si="6"/>
        <v>-99.122</v>
      </c>
      <c r="F162" s="143">
        <f t="shared" si="7"/>
        <v>54.850552513869786</v>
      </c>
      <c r="G162" s="122" t="s">
        <v>392</v>
      </c>
    </row>
    <row r="163" spans="1:7" ht="47.25" x14ac:dyDescent="0.25">
      <c r="A163" s="207"/>
      <c r="B163" s="176" t="s">
        <v>350</v>
      </c>
      <c r="C163" s="152">
        <v>3520</v>
      </c>
      <c r="D163" s="117">
        <v>890</v>
      </c>
      <c r="E163" s="143">
        <f t="shared" si="6"/>
        <v>-2630</v>
      </c>
      <c r="F163" s="143">
        <f t="shared" si="7"/>
        <v>25.28409090909091</v>
      </c>
      <c r="G163" s="122" t="s">
        <v>400</v>
      </c>
    </row>
    <row r="164" spans="1:7" ht="47.25" x14ac:dyDescent="0.25">
      <c r="A164" s="207"/>
      <c r="B164" s="176" t="s">
        <v>351</v>
      </c>
      <c r="C164" s="155">
        <v>0.06</v>
      </c>
      <c r="D164" s="219">
        <f>D162/D163</f>
        <v>0.13530337078651686</v>
      </c>
      <c r="E164" s="143">
        <f t="shared" si="6"/>
        <v>7.530337078651686E-2</v>
      </c>
      <c r="F164" s="143">
        <f t="shared" si="7"/>
        <v>225.50561797752812</v>
      </c>
      <c r="G164" s="122" t="s">
        <v>400</v>
      </c>
    </row>
    <row r="165" spans="1:7" ht="47.25" x14ac:dyDescent="0.25">
      <c r="A165" s="207"/>
      <c r="B165" s="176" t="s">
        <v>352</v>
      </c>
      <c r="C165" s="152">
        <v>100</v>
      </c>
      <c r="D165" s="117">
        <v>100</v>
      </c>
      <c r="E165" s="143">
        <f t="shared" si="6"/>
        <v>0</v>
      </c>
      <c r="F165" s="143">
        <f t="shared" si="7"/>
        <v>100</v>
      </c>
      <c r="G165" s="122" t="s">
        <v>400</v>
      </c>
    </row>
    <row r="166" spans="1:7" ht="21" customHeight="1" x14ac:dyDescent="0.25">
      <c r="A166" s="207" t="s">
        <v>339</v>
      </c>
      <c r="B166" s="1136" t="s">
        <v>341</v>
      </c>
      <c r="C166" s="1137"/>
      <c r="D166" s="1137"/>
      <c r="E166" s="1137"/>
      <c r="F166" s="1137"/>
      <c r="G166" s="1138"/>
    </row>
    <row r="167" spans="1:7" ht="21" customHeight="1" x14ac:dyDescent="0.25">
      <c r="A167" s="207" t="s">
        <v>340</v>
      </c>
      <c r="B167" s="1136" t="s">
        <v>335</v>
      </c>
      <c r="C167" s="1137"/>
      <c r="D167" s="1137"/>
      <c r="E167" s="1137"/>
      <c r="F167" s="1137"/>
      <c r="G167" s="1138"/>
    </row>
    <row r="168" spans="1:7" ht="204.75" x14ac:dyDescent="0.25">
      <c r="A168" s="207"/>
      <c r="B168" s="176" t="s">
        <v>249</v>
      </c>
      <c r="C168" s="152">
        <v>1527</v>
      </c>
      <c r="D168" s="117">
        <v>405.79</v>
      </c>
      <c r="E168" s="143">
        <f t="shared" si="6"/>
        <v>-1121.21</v>
      </c>
      <c r="F168" s="143">
        <f t="shared" si="7"/>
        <v>26.574328749181404</v>
      </c>
      <c r="G168" s="122" t="s">
        <v>396</v>
      </c>
    </row>
    <row r="169" spans="1:7" ht="31.5" x14ac:dyDescent="0.25">
      <c r="A169" s="207"/>
      <c r="B169" s="176" t="s">
        <v>353</v>
      </c>
      <c r="C169" s="152"/>
      <c r="D169" s="117"/>
      <c r="E169" s="143"/>
      <c r="F169" s="143"/>
      <c r="G169" s="115"/>
    </row>
    <row r="170" spans="1:7" x14ac:dyDescent="0.25">
      <c r="A170" s="207"/>
      <c r="B170" s="220" t="s">
        <v>241</v>
      </c>
      <c r="C170" s="152">
        <v>3000</v>
      </c>
      <c r="D170" s="117">
        <v>358</v>
      </c>
      <c r="E170" s="143">
        <f t="shared" si="6"/>
        <v>-2642</v>
      </c>
      <c r="F170" s="143">
        <f t="shared" si="7"/>
        <v>11.933333333333334</v>
      </c>
      <c r="G170" s="122" t="s">
        <v>400</v>
      </c>
    </row>
    <row r="171" spans="1:7" x14ac:dyDescent="0.25">
      <c r="A171" s="207"/>
      <c r="B171" s="220" t="s">
        <v>242</v>
      </c>
      <c r="C171" s="152">
        <v>1250</v>
      </c>
      <c r="D171" s="117">
        <v>1001</v>
      </c>
      <c r="E171" s="143">
        <f t="shared" si="6"/>
        <v>-249</v>
      </c>
      <c r="F171" s="143">
        <f t="shared" si="7"/>
        <v>80.08</v>
      </c>
      <c r="G171" s="122" t="s">
        <v>400</v>
      </c>
    </row>
    <row r="172" spans="1:7" x14ac:dyDescent="0.25">
      <c r="A172" s="207"/>
      <c r="B172" s="220" t="s">
        <v>243</v>
      </c>
      <c r="C172" s="152">
        <v>100</v>
      </c>
      <c r="D172" s="117">
        <v>160</v>
      </c>
      <c r="E172" s="143">
        <f t="shared" si="6"/>
        <v>60</v>
      </c>
      <c r="F172" s="143">
        <f t="shared" si="7"/>
        <v>160</v>
      </c>
      <c r="G172" s="122" t="s">
        <v>400</v>
      </c>
    </row>
    <row r="173" spans="1:7" x14ac:dyDescent="0.25">
      <c r="A173" s="207"/>
      <c r="B173" s="220" t="s">
        <v>244</v>
      </c>
      <c r="C173" s="152">
        <v>100</v>
      </c>
      <c r="D173" s="117">
        <v>173</v>
      </c>
      <c r="E173" s="143">
        <f t="shared" si="6"/>
        <v>73</v>
      </c>
      <c r="F173" s="143">
        <f t="shared" si="7"/>
        <v>173</v>
      </c>
      <c r="G173" s="122" t="s">
        <v>400</v>
      </c>
    </row>
    <row r="174" spans="1:7" ht="47.25" x14ac:dyDescent="0.25">
      <c r="A174" s="207"/>
      <c r="B174" s="176" t="s">
        <v>354</v>
      </c>
      <c r="C174" s="155">
        <v>1.1000000000000001</v>
      </c>
      <c r="D174" s="117">
        <v>0.24</v>
      </c>
      <c r="E174" s="143">
        <f t="shared" si="6"/>
        <v>-0.8600000000000001</v>
      </c>
      <c r="F174" s="143">
        <f t="shared" si="7"/>
        <v>21.818181818181813</v>
      </c>
      <c r="G174" s="122" t="s">
        <v>400</v>
      </c>
    </row>
    <row r="175" spans="1:7" ht="54" customHeight="1" x14ac:dyDescent="0.25">
      <c r="A175" s="207"/>
      <c r="B175" s="176" t="s">
        <v>355</v>
      </c>
      <c r="C175" s="155">
        <v>100</v>
      </c>
      <c r="D175" s="117">
        <v>100</v>
      </c>
      <c r="E175" s="143">
        <f t="shared" si="6"/>
        <v>0</v>
      </c>
      <c r="F175" s="143">
        <f t="shared" si="7"/>
        <v>100</v>
      </c>
      <c r="G175" s="122" t="s">
        <v>400</v>
      </c>
    </row>
    <row r="176" spans="1:7" x14ac:dyDescent="0.25">
      <c r="A176" s="207" t="s">
        <v>342</v>
      </c>
      <c r="B176" s="1136" t="s">
        <v>128</v>
      </c>
      <c r="C176" s="1137"/>
      <c r="D176" s="1137"/>
      <c r="E176" s="1137"/>
      <c r="F176" s="1137"/>
      <c r="G176" s="1138"/>
    </row>
    <row r="177" spans="1:24" ht="196.5" customHeight="1" x14ac:dyDescent="0.25">
      <c r="A177" s="207"/>
      <c r="B177" s="176" t="s">
        <v>249</v>
      </c>
      <c r="C177" s="152">
        <v>3383.6909999999998</v>
      </c>
      <c r="D177" s="117">
        <v>1879.97</v>
      </c>
      <c r="E177" s="143">
        <f t="shared" si="6"/>
        <v>-1503.7209999999998</v>
      </c>
      <c r="F177" s="143">
        <f t="shared" si="7"/>
        <v>55.559742305074558</v>
      </c>
      <c r="G177" s="122" t="s">
        <v>397</v>
      </c>
    </row>
    <row r="178" spans="1:24" ht="31.5" x14ac:dyDescent="0.25">
      <c r="A178" s="207"/>
      <c r="B178" s="176" t="s">
        <v>356</v>
      </c>
      <c r="C178" s="155">
        <v>510</v>
      </c>
      <c r="D178" s="117">
        <v>243</v>
      </c>
      <c r="E178" s="143">
        <f t="shared" si="6"/>
        <v>-267</v>
      </c>
      <c r="F178" s="143">
        <f t="shared" si="7"/>
        <v>47.647058823529406</v>
      </c>
      <c r="G178" s="122" t="s">
        <v>400</v>
      </c>
    </row>
    <row r="179" spans="1:24" ht="31.5" x14ac:dyDescent="0.25">
      <c r="A179" s="207"/>
      <c r="B179" s="176" t="s">
        <v>357</v>
      </c>
      <c r="C179" s="152">
        <v>6.63</v>
      </c>
      <c r="D179" s="219">
        <f>D177/D178</f>
        <v>7.7365020576131691</v>
      </c>
      <c r="E179" s="143">
        <f t="shared" si="6"/>
        <v>1.1065020576131692</v>
      </c>
      <c r="F179" s="143">
        <f t="shared" si="7"/>
        <v>116.68932213594523</v>
      </c>
      <c r="G179" s="122" t="s">
        <v>400</v>
      </c>
    </row>
    <row r="180" spans="1:24" ht="63" x14ac:dyDescent="0.25">
      <c r="A180" s="207"/>
      <c r="B180" s="176" t="s">
        <v>358</v>
      </c>
      <c r="C180" s="152">
        <v>50</v>
      </c>
      <c r="D180" s="117">
        <v>21</v>
      </c>
      <c r="E180" s="143">
        <f t="shared" si="6"/>
        <v>-29</v>
      </c>
      <c r="F180" s="143">
        <f t="shared" si="7"/>
        <v>42</v>
      </c>
      <c r="G180" s="122" t="s">
        <v>400</v>
      </c>
    </row>
    <row r="181" spans="1:24" ht="36.75" customHeight="1" x14ac:dyDescent="0.25">
      <c r="A181" s="207" t="s">
        <v>343</v>
      </c>
      <c r="B181" s="1136" t="s">
        <v>129</v>
      </c>
      <c r="C181" s="1137"/>
      <c r="D181" s="1137"/>
      <c r="E181" s="1137"/>
      <c r="F181" s="1137"/>
      <c r="G181" s="1138"/>
    </row>
    <row r="182" spans="1:24" x14ac:dyDescent="0.25">
      <c r="A182" s="207"/>
      <c r="B182" s="176" t="s">
        <v>249</v>
      </c>
      <c r="C182" s="152">
        <v>225</v>
      </c>
      <c r="D182" s="117">
        <v>0</v>
      </c>
      <c r="E182" s="143">
        <f t="shared" si="6"/>
        <v>-225</v>
      </c>
      <c r="F182" s="143">
        <f t="shared" si="7"/>
        <v>0</v>
      </c>
      <c r="G182" s="122" t="s">
        <v>400</v>
      </c>
    </row>
    <row r="183" spans="1:24" ht="78.75" x14ac:dyDescent="0.25">
      <c r="A183" s="207"/>
      <c r="B183" s="176" t="s">
        <v>359</v>
      </c>
      <c r="C183" s="152">
        <v>88</v>
      </c>
      <c r="D183" s="117">
        <v>0</v>
      </c>
      <c r="E183" s="143">
        <f t="shared" si="6"/>
        <v>-88</v>
      </c>
      <c r="F183" s="143">
        <f t="shared" si="7"/>
        <v>0</v>
      </c>
      <c r="G183" s="122" t="s">
        <v>400</v>
      </c>
    </row>
    <row r="184" spans="1:24" ht="31.5" x14ac:dyDescent="0.25">
      <c r="A184" s="207"/>
      <c r="B184" s="176" t="s">
        <v>360</v>
      </c>
      <c r="C184" s="152">
        <v>2.56</v>
      </c>
      <c r="D184" s="117">
        <v>0</v>
      </c>
      <c r="E184" s="143">
        <f t="shared" si="6"/>
        <v>-2.56</v>
      </c>
      <c r="F184" s="143">
        <f t="shared" si="7"/>
        <v>0</v>
      </c>
      <c r="G184" s="122" t="s">
        <v>400</v>
      </c>
    </row>
    <row r="185" spans="1:24" ht="78.75" x14ac:dyDescent="0.25">
      <c r="A185" s="207"/>
      <c r="B185" s="176" t="s">
        <v>361</v>
      </c>
      <c r="C185" s="152">
        <v>90</v>
      </c>
      <c r="D185" s="117">
        <v>0</v>
      </c>
      <c r="E185" s="143">
        <f t="shared" si="6"/>
        <v>-90</v>
      </c>
      <c r="F185" s="143">
        <f t="shared" si="7"/>
        <v>0</v>
      </c>
      <c r="G185" s="122" t="s">
        <v>400</v>
      </c>
    </row>
    <row r="186" spans="1:24" x14ac:dyDescent="0.25">
      <c r="A186" s="221" t="s">
        <v>132</v>
      </c>
      <c r="B186" s="1139" t="s">
        <v>131</v>
      </c>
      <c r="C186" s="1140"/>
      <c r="D186" s="1140"/>
      <c r="E186" s="1134"/>
      <c r="F186" s="1134"/>
      <c r="G186" s="1135"/>
    </row>
    <row r="187" spans="1:24" s="149" customFormat="1" x14ac:dyDescent="0.25">
      <c r="A187" s="212" t="s">
        <v>135</v>
      </c>
      <c r="B187" s="1136" t="s">
        <v>133</v>
      </c>
      <c r="C187" s="1137"/>
      <c r="D187" s="1137"/>
      <c r="E187" s="1137"/>
      <c r="F187" s="1137"/>
      <c r="G187" s="1138"/>
      <c r="H187" s="124"/>
      <c r="I187" s="124"/>
      <c r="J187" s="124"/>
      <c r="K187" s="124"/>
      <c r="L187" s="124"/>
      <c r="M187" s="124"/>
      <c r="N187" s="124"/>
      <c r="O187" s="124"/>
      <c r="P187" s="124"/>
      <c r="Q187" s="124"/>
      <c r="R187" s="124"/>
      <c r="S187" s="124"/>
      <c r="T187" s="124"/>
      <c r="U187" s="124"/>
      <c r="V187" s="124"/>
      <c r="W187" s="124"/>
      <c r="X187" s="124"/>
    </row>
    <row r="188" spans="1:24" s="149" customFormat="1" x14ac:dyDescent="0.25">
      <c r="A188" s="212"/>
      <c r="B188" s="1137" t="s">
        <v>134</v>
      </c>
      <c r="C188" s="1137"/>
      <c r="D188" s="1137"/>
      <c r="E188" s="1137"/>
      <c r="F188" s="1137"/>
      <c r="G188" s="1138"/>
      <c r="H188" s="124"/>
      <c r="I188" s="124"/>
      <c r="J188" s="124"/>
      <c r="K188" s="124"/>
      <c r="L188" s="124"/>
      <c r="M188" s="124"/>
      <c r="N188" s="124"/>
      <c r="O188" s="124"/>
      <c r="P188" s="124"/>
      <c r="Q188" s="124"/>
      <c r="R188" s="124"/>
      <c r="S188" s="124"/>
      <c r="T188" s="124"/>
      <c r="U188" s="124"/>
      <c r="V188" s="124"/>
      <c r="W188" s="124"/>
      <c r="X188" s="124"/>
    </row>
    <row r="189" spans="1:24" x14ac:dyDescent="0.25">
      <c r="A189" s="209"/>
      <c r="B189" s="123" t="s">
        <v>196</v>
      </c>
      <c r="C189" s="222">
        <v>93744</v>
      </c>
      <c r="D189" s="223">
        <v>35190.177199999998</v>
      </c>
      <c r="E189" s="222">
        <f>D189-C189</f>
        <v>-58553.822800000002</v>
      </c>
      <c r="F189" s="114">
        <f>D189/C189*100</f>
        <v>37.538591483188256</v>
      </c>
      <c r="G189" s="122" t="s">
        <v>400</v>
      </c>
    </row>
    <row r="190" spans="1:24" ht="31.5" x14ac:dyDescent="0.25">
      <c r="A190" s="209"/>
      <c r="B190" s="123" t="s">
        <v>404</v>
      </c>
      <c r="C190" s="114">
        <v>12704</v>
      </c>
      <c r="D190" s="143">
        <v>7693</v>
      </c>
      <c r="E190" s="222">
        <f>D190-C190</f>
        <v>-5011</v>
      </c>
      <c r="F190" s="114">
        <f>D190/C190*100</f>
        <v>60.555730478589417</v>
      </c>
      <c r="G190" s="122" t="s">
        <v>405</v>
      </c>
    </row>
    <row r="191" spans="1:24" ht="31.5" x14ac:dyDescent="0.25">
      <c r="A191" s="209"/>
      <c r="B191" s="123" t="s">
        <v>221</v>
      </c>
      <c r="C191" s="114">
        <v>5000</v>
      </c>
      <c r="D191" s="143">
        <v>1260</v>
      </c>
      <c r="E191" s="114">
        <f>D191-C191</f>
        <v>-3740</v>
      </c>
      <c r="F191" s="114">
        <f>D191/C191*100</f>
        <v>25.2</v>
      </c>
      <c r="G191" s="122" t="s">
        <v>405</v>
      </c>
    </row>
    <row r="192" spans="1:24" ht="31.5" x14ac:dyDescent="0.25">
      <c r="A192" s="209"/>
      <c r="B192" s="123" t="s">
        <v>222</v>
      </c>
      <c r="C192" s="222">
        <v>18</v>
      </c>
      <c r="D192" s="223">
        <f>D189/D191</f>
        <v>27.92871206349206</v>
      </c>
      <c r="E192" s="222">
        <f>D192-C192</f>
        <v>9.9287120634920605</v>
      </c>
      <c r="F192" s="114">
        <f>D192/C192*100</f>
        <v>155.15951146384478</v>
      </c>
      <c r="G192" s="122" t="s">
        <v>400</v>
      </c>
    </row>
    <row r="193" spans="1:24" ht="78.75" x14ac:dyDescent="0.25">
      <c r="A193" s="209"/>
      <c r="B193" s="123" t="s">
        <v>223</v>
      </c>
      <c r="C193" s="114">
        <v>84.1</v>
      </c>
      <c r="D193" s="143">
        <v>64.2</v>
      </c>
      <c r="E193" s="114">
        <f>D193-C193</f>
        <v>-19.899999999999991</v>
      </c>
      <c r="F193" s="114">
        <f>D193/C193*100</f>
        <v>76.337693222354346</v>
      </c>
      <c r="G193" s="122" t="s">
        <v>405</v>
      </c>
    </row>
    <row r="194" spans="1:24" x14ac:dyDescent="0.25">
      <c r="A194" s="138"/>
      <c r="B194" s="1137" t="s">
        <v>137</v>
      </c>
      <c r="C194" s="1137"/>
      <c r="D194" s="1137"/>
      <c r="E194" s="1137"/>
      <c r="F194" s="1137"/>
      <c r="G194" s="1138"/>
    </row>
    <row r="195" spans="1:24" ht="31.5" x14ac:dyDescent="0.25">
      <c r="A195" s="138"/>
      <c r="B195" s="123" t="s">
        <v>224</v>
      </c>
      <c r="C195" s="118">
        <v>6795</v>
      </c>
      <c r="D195" s="121">
        <v>1924</v>
      </c>
      <c r="E195" s="121">
        <f>D195-C195</f>
        <v>-4871</v>
      </c>
      <c r="F195" s="118">
        <f>D195/C195*100</f>
        <v>28.314937454010302</v>
      </c>
      <c r="G195" s="122" t="s">
        <v>400</v>
      </c>
    </row>
    <row r="196" spans="1:24" ht="47.25" x14ac:dyDescent="0.25">
      <c r="A196" s="144"/>
      <c r="B196" s="123" t="s">
        <v>225</v>
      </c>
      <c r="C196" s="116">
        <v>45</v>
      </c>
      <c r="D196" s="117">
        <v>25</v>
      </c>
      <c r="E196" s="117">
        <f>D196-C196</f>
        <v>-20</v>
      </c>
      <c r="F196" s="114">
        <f>D196/C196*100</f>
        <v>55.555555555555557</v>
      </c>
      <c r="G196" s="122" t="s">
        <v>400</v>
      </c>
    </row>
    <row r="197" spans="1:24" ht="39.75" customHeight="1" x14ac:dyDescent="0.25">
      <c r="A197" s="169" t="s">
        <v>362</v>
      </c>
      <c r="B197" s="1136" t="s">
        <v>363</v>
      </c>
      <c r="C197" s="1137"/>
      <c r="D197" s="1137"/>
      <c r="E197" s="1137"/>
      <c r="F197" s="1137"/>
      <c r="G197" s="1138"/>
    </row>
    <row r="198" spans="1:24" x14ac:dyDescent="0.25">
      <c r="A198" s="169"/>
      <c r="B198" s="151" t="s">
        <v>364</v>
      </c>
      <c r="C198" s="152">
        <v>350</v>
      </c>
      <c r="D198" s="117">
        <v>0</v>
      </c>
      <c r="E198" s="117">
        <f t="shared" ref="E198:E221" si="8">D198-C198</f>
        <v>-350</v>
      </c>
      <c r="F198" s="114">
        <f t="shared" ref="F198:F221" si="9">D198/C198*100</f>
        <v>0</v>
      </c>
      <c r="G198" s="122" t="s">
        <v>400</v>
      </c>
    </row>
    <row r="199" spans="1:24" ht="47.25" x14ac:dyDescent="0.25">
      <c r="A199" s="169"/>
      <c r="B199" s="151" t="s">
        <v>365</v>
      </c>
      <c r="C199" s="224">
        <v>5</v>
      </c>
      <c r="D199" s="117">
        <v>0</v>
      </c>
      <c r="E199" s="117">
        <f t="shared" si="8"/>
        <v>-5</v>
      </c>
      <c r="F199" s="114">
        <f t="shared" si="9"/>
        <v>0</v>
      </c>
      <c r="G199" s="122" t="s">
        <v>400</v>
      </c>
    </row>
    <row r="200" spans="1:24" ht="47.25" x14ac:dyDescent="0.25">
      <c r="A200" s="169"/>
      <c r="B200" s="151" t="s">
        <v>366</v>
      </c>
      <c r="C200" s="152">
        <v>0.06</v>
      </c>
      <c r="D200" s="117">
        <v>0</v>
      </c>
      <c r="E200" s="117">
        <f t="shared" si="8"/>
        <v>-0.06</v>
      </c>
      <c r="F200" s="114">
        <f t="shared" si="9"/>
        <v>0</v>
      </c>
      <c r="G200" s="122" t="s">
        <v>400</v>
      </c>
    </row>
    <row r="201" spans="1:24" s="149" customFormat="1" ht="21" customHeight="1" x14ac:dyDescent="0.25">
      <c r="A201" s="225" t="s">
        <v>367</v>
      </c>
      <c r="B201" s="1144" t="s">
        <v>142</v>
      </c>
      <c r="C201" s="1145"/>
      <c r="D201" s="1145"/>
      <c r="E201" s="1145"/>
      <c r="F201" s="1145"/>
      <c r="G201" s="1146"/>
      <c r="H201" s="124"/>
      <c r="I201" s="124"/>
      <c r="J201" s="124"/>
      <c r="K201" s="124"/>
      <c r="L201" s="124"/>
      <c r="M201" s="124"/>
      <c r="N201" s="124"/>
      <c r="O201" s="124"/>
      <c r="P201" s="124"/>
      <c r="Q201" s="124"/>
      <c r="R201" s="124"/>
      <c r="S201" s="124"/>
      <c r="T201" s="124"/>
      <c r="U201" s="124"/>
      <c r="V201" s="124"/>
      <c r="W201" s="124"/>
      <c r="X201" s="124"/>
    </row>
    <row r="202" spans="1:24" s="198" customFormat="1" x14ac:dyDescent="0.25">
      <c r="A202" s="226" t="s">
        <v>376</v>
      </c>
      <c r="B202" s="1136" t="s">
        <v>144</v>
      </c>
      <c r="C202" s="1137"/>
      <c r="D202" s="1137"/>
      <c r="E202" s="1137"/>
      <c r="F202" s="1137"/>
      <c r="G202" s="1138"/>
      <c r="H202" s="124"/>
      <c r="I202" s="124"/>
      <c r="J202" s="124"/>
      <c r="K202" s="124"/>
      <c r="L202" s="124"/>
      <c r="M202" s="124"/>
      <c r="N202" s="124"/>
      <c r="O202" s="124"/>
      <c r="P202" s="124"/>
      <c r="Q202" s="124"/>
      <c r="R202" s="124"/>
      <c r="S202" s="124"/>
      <c r="T202" s="124"/>
      <c r="U202" s="124"/>
      <c r="V202" s="124"/>
      <c r="W202" s="124"/>
      <c r="X202" s="124"/>
    </row>
    <row r="203" spans="1:24" s="115" customFormat="1" ht="78.75" x14ac:dyDescent="0.2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x14ac:dyDescent="0.25">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x14ac:dyDescent="0.25">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x14ac:dyDescent="0.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x14ac:dyDescent="0.2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x14ac:dyDescent="0.25">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x14ac:dyDescent="0.25">
      <c r="A209" s="159" t="s">
        <v>377</v>
      </c>
      <c r="B209" s="1147" t="s">
        <v>145</v>
      </c>
      <c r="C209" s="1148"/>
      <c r="D209" s="1148"/>
      <c r="E209" s="1148"/>
      <c r="F209" s="1148"/>
      <c r="G209" s="1149"/>
      <c r="H209" s="124"/>
      <c r="I209" s="124"/>
      <c r="J209" s="124"/>
      <c r="K209" s="124"/>
      <c r="L209" s="124"/>
      <c r="M209" s="124"/>
      <c r="N209" s="124"/>
      <c r="O209" s="124"/>
      <c r="P209" s="124"/>
      <c r="Q209" s="124"/>
      <c r="R209" s="124"/>
      <c r="S209" s="124"/>
      <c r="T209" s="124"/>
      <c r="U209" s="124"/>
      <c r="V209" s="124"/>
      <c r="W209" s="124"/>
      <c r="X209" s="124"/>
    </row>
    <row r="210" spans="1:24" s="115" customFormat="1" ht="78.75" x14ac:dyDescent="0.2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x14ac:dyDescent="0.25">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x14ac:dyDescent="0.25">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x14ac:dyDescent="0.25">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x14ac:dyDescent="0.2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x14ac:dyDescent="0.25">
      <c r="A215" s="169" t="s">
        <v>378</v>
      </c>
      <c r="B215" s="1166" t="s">
        <v>146</v>
      </c>
      <c r="C215" s="1167"/>
      <c r="D215" s="1167"/>
      <c r="E215" s="1167"/>
      <c r="F215" s="1167"/>
      <c r="G215" s="1168"/>
      <c r="H215" s="124"/>
      <c r="I215" s="124"/>
      <c r="J215" s="124"/>
      <c r="K215" s="124"/>
      <c r="L215" s="124"/>
      <c r="M215" s="124"/>
      <c r="N215" s="124"/>
      <c r="O215" s="124"/>
      <c r="P215" s="124"/>
      <c r="Q215" s="124"/>
      <c r="R215" s="124"/>
      <c r="S215" s="124"/>
      <c r="T215" s="124"/>
      <c r="U215" s="124"/>
      <c r="V215" s="124"/>
      <c r="W215" s="124"/>
      <c r="X215" s="124"/>
    </row>
    <row r="216" spans="1:24" s="115" customFormat="1" ht="78.75" x14ac:dyDescent="0.2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x14ac:dyDescent="0.25">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x14ac:dyDescent="0.25">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x14ac:dyDescent="0.25">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x14ac:dyDescent="0.2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x14ac:dyDescent="0.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x14ac:dyDescent="0.25">
      <c r="A222" s="208" t="s">
        <v>148</v>
      </c>
      <c r="B222" s="1141" t="s">
        <v>147</v>
      </c>
      <c r="C222" s="1142"/>
      <c r="D222" s="1142"/>
      <c r="E222" s="1142"/>
      <c r="F222" s="1142"/>
      <c r="G222" s="1143"/>
      <c r="H222" s="124"/>
      <c r="I222" s="124"/>
      <c r="J222" s="124"/>
      <c r="K222" s="124"/>
      <c r="L222" s="124"/>
      <c r="M222" s="124"/>
      <c r="N222" s="124"/>
      <c r="O222" s="124"/>
      <c r="P222" s="124"/>
      <c r="Q222" s="124"/>
      <c r="R222" s="124"/>
      <c r="S222" s="124"/>
      <c r="T222" s="124"/>
      <c r="U222" s="124"/>
      <c r="V222" s="124"/>
      <c r="W222" s="124"/>
      <c r="X222" s="124"/>
    </row>
    <row r="223" spans="1:24" ht="63" x14ac:dyDescent="0.25">
      <c r="A223" s="213"/>
      <c r="B223" s="123" t="s">
        <v>226</v>
      </c>
      <c r="C223" s="116">
        <v>35</v>
      </c>
      <c r="D223" s="117">
        <v>39</v>
      </c>
      <c r="E223" s="116">
        <f>D223-C223</f>
        <v>4</v>
      </c>
      <c r="F223" s="114">
        <f>D223/C223*100</f>
        <v>111.42857142857143</v>
      </c>
      <c r="G223" s="122" t="s">
        <v>400</v>
      </c>
    </row>
    <row r="224" spans="1:24" ht="78.75" x14ac:dyDescent="0.25">
      <c r="A224" s="210"/>
      <c r="B224" s="123" t="s">
        <v>227</v>
      </c>
      <c r="C224" s="116">
        <v>90</v>
      </c>
      <c r="D224" s="117">
        <v>95</v>
      </c>
      <c r="E224" s="116">
        <f>D224-C224</f>
        <v>5</v>
      </c>
      <c r="F224" s="114">
        <f>D224/C224*100</f>
        <v>105.55555555555556</v>
      </c>
      <c r="G224" s="122" t="s">
        <v>400</v>
      </c>
    </row>
    <row r="225" spans="1:24" x14ac:dyDescent="0.25">
      <c r="A225" s="208" t="s">
        <v>150</v>
      </c>
      <c r="B225" s="1136" t="s">
        <v>149</v>
      </c>
      <c r="C225" s="1137"/>
      <c r="D225" s="1137"/>
      <c r="E225" s="1137"/>
      <c r="F225" s="1137"/>
      <c r="G225" s="1138"/>
    </row>
    <row r="226" spans="1:24" ht="47.25" x14ac:dyDescent="0.25">
      <c r="A226" s="213"/>
      <c r="B226" s="123" t="s">
        <v>246</v>
      </c>
      <c r="C226" s="116">
        <v>88</v>
      </c>
      <c r="D226" s="117">
        <v>6</v>
      </c>
      <c r="E226" s="116">
        <f>D226-C226</f>
        <v>-82</v>
      </c>
      <c r="F226" s="114">
        <f>D226/C226*100</f>
        <v>6.8181818181818175</v>
      </c>
      <c r="G226" s="122" t="s">
        <v>400</v>
      </c>
    </row>
    <row r="227" spans="1:24" ht="34.5" customHeight="1" x14ac:dyDescent="0.25">
      <c r="A227" s="210"/>
      <c r="B227" s="123" t="s">
        <v>228</v>
      </c>
      <c r="C227" s="116">
        <v>100</v>
      </c>
      <c r="D227" s="117">
        <v>33</v>
      </c>
      <c r="E227" s="116">
        <f>D227-C227</f>
        <v>-67</v>
      </c>
      <c r="F227" s="114">
        <f>D227/C227*100</f>
        <v>33</v>
      </c>
      <c r="G227" s="122" t="s">
        <v>400</v>
      </c>
    </row>
    <row r="228" spans="1:24" x14ac:dyDescent="0.25">
      <c r="A228" s="209" t="s">
        <v>152</v>
      </c>
      <c r="B228" s="1136" t="s">
        <v>151</v>
      </c>
      <c r="C228" s="1137"/>
      <c r="D228" s="1137"/>
      <c r="E228" s="1137"/>
      <c r="F228" s="1137"/>
      <c r="G228" s="1138"/>
    </row>
    <row r="229" spans="1:24" x14ac:dyDescent="0.25">
      <c r="A229" s="213"/>
      <c r="B229" s="123" t="s">
        <v>196</v>
      </c>
      <c r="C229" s="214">
        <v>4341</v>
      </c>
      <c r="D229" s="215">
        <v>3271.79</v>
      </c>
      <c r="E229" s="231">
        <f>D229-C229</f>
        <v>-1069.21</v>
      </c>
      <c r="F229" s="118">
        <f>D229/C229*100</f>
        <v>75.369500115180827</v>
      </c>
      <c r="G229" s="122" t="s">
        <v>400</v>
      </c>
    </row>
    <row r="230" spans="1:24" ht="31.5" x14ac:dyDescent="0.25">
      <c r="A230" s="209"/>
      <c r="B230" s="123" t="s">
        <v>229</v>
      </c>
      <c r="C230" s="118">
        <v>6040</v>
      </c>
      <c r="D230" s="121">
        <v>6781</v>
      </c>
      <c r="E230" s="118">
        <f>D230-C230</f>
        <v>741</v>
      </c>
      <c r="F230" s="118">
        <f>D230/C230*100</f>
        <v>112.26821192052981</v>
      </c>
      <c r="G230" s="122" t="s">
        <v>400</v>
      </c>
    </row>
    <row r="231" spans="1:24" ht="47.25" x14ac:dyDescent="0.25">
      <c r="A231" s="209"/>
      <c r="B231" s="123" t="s">
        <v>230</v>
      </c>
      <c r="C231" s="231">
        <v>0.72</v>
      </c>
      <c r="D231" s="215">
        <f>D229/D230</f>
        <v>0.48249373248783367</v>
      </c>
      <c r="E231" s="231">
        <f>D231-C231</f>
        <v>-0.2375062675121663</v>
      </c>
      <c r="F231" s="118">
        <f>D231/C231*100</f>
        <v>67.013018401088004</v>
      </c>
      <c r="G231" s="122" t="s">
        <v>400</v>
      </c>
    </row>
    <row r="232" spans="1:24" ht="63" x14ac:dyDescent="0.25">
      <c r="A232" s="210"/>
      <c r="B232" s="123" t="s">
        <v>231</v>
      </c>
      <c r="C232" s="232">
        <v>40</v>
      </c>
      <c r="D232" s="120">
        <v>56.6</v>
      </c>
      <c r="E232" s="232">
        <f>D232-C232</f>
        <v>16.600000000000001</v>
      </c>
      <c r="F232" s="118">
        <f>D232/C232*100</f>
        <v>141.5</v>
      </c>
      <c r="G232" s="122" t="s">
        <v>400</v>
      </c>
    </row>
    <row r="233" spans="1:24" s="198" customFormat="1" ht="21.75" customHeight="1" x14ac:dyDescent="0.25">
      <c r="A233" s="233" t="s">
        <v>379</v>
      </c>
      <c r="B233" s="1136" t="s">
        <v>154</v>
      </c>
      <c r="C233" s="1137"/>
      <c r="D233" s="1137"/>
      <c r="E233" s="1137"/>
      <c r="F233" s="1137"/>
      <c r="G233" s="1138"/>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x14ac:dyDescent="0.25">
      <c r="A234" s="235" t="s">
        <v>380</v>
      </c>
      <c r="B234" s="1136" t="s">
        <v>156</v>
      </c>
      <c r="C234" s="1137"/>
      <c r="D234" s="1137"/>
      <c r="E234" s="1137"/>
      <c r="F234" s="1137"/>
      <c r="G234" s="1138"/>
      <c r="H234" s="234"/>
      <c r="I234" s="124"/>
      <c r="J234" s="124"/>
      <c r="K234" s="124"/>
      <c r="L234" s="124"/>
      <c r="M234" s="124"/>
      <c r="N234" s="234"/>
      <c r="O234" s="234"/>
      <c r="P234" s="234"/>
      <c r="Q234" s="234"/>
      <c r="R234" s="234"/>
      <c r="S234" s="234"/>
      <c r="T234" s="234"/>
      <c r="U234" s="234"/>
      <c r="V234" s="234"/>
      <c r="W234" s="234"/>
      <c r="X234" s="234"/>
    </row>
    <row r="235" spans="1:24" ht="78.75" x14ac:dyDescent="0.25">
      <c r="A235" s="207"/>
      <c r="B235" s="176" t="s">
        <v>266</v>
      </c>
      <c r="C235" s="152">
        <v>21422.09</v>
      </c>
      <c r="D235" s="117">
        <v>5077.74</v>
      </c>
      <c r="E235" s="116">
        <f>D235-C235</f>
        <v>-16344.35</v>
      </c>
      <c r="F235" s="114">
        <f>D235/C235*100</f>
        <v>23.703289454950475</v>
      </c>
      <c r="G235" s="122" t="s">
        <v>399</v>
      </c>
    </row>
    <row r="236" spans="1:24" ht="47.25" x14ac:dyDescent="0.25">
      <c r="A236" s="207"/>
      <c r="B236" s="151" t="s">
        <v>381</v>
      </c>
      <c r="C236" s="152">
        <v>10084</v>
      </c>
      <c r="D236" s="117">
        <v>6131</v>
      </c>
      <c r="E236" s="116">
        <f>D236-C236</f>
        <v>-3953</v>
      </c>
      <c r="F236" s="114">
        <f>D236/C236*100</f>
        <v>60.79928599761999</v>
      </c>
      <c r="G236" s="122" t="s">
        <v>400</v>
      </c>
    </row>
    <row r="237" spans="1:24" ht="47.25" x14ac:dyDescent="0.25">
      <c r="A237" s="207"/>
      <c r="B237" s="151" t="s">
        <v>382</v>
      </c>
      <c r="C237" s="174">
        <f>C235/C236</f>
        <v>2.1243643395477987</v>
      </c>
      <c r="D237" s="174">
        <f>D235/D236</f>
        <v>0.82820747023324082</v>
      </c>
      <c r="E237" s="145">
        <f>D237-C237</f>
        <v>-1.296156869314558</v>
      </c>
      <c r="F237" s="114">
        <f>D237/C237*100</f>
        <v>38.986131277723132</v>
      </c>
      <c r="G237" s="122" t="s">
        <v>400</v>
      </c>
    </row>
    <row r="238" spans="1:24" ht="63" x14ac:dyDescent="0.25">
      <c r="A238" s="207"/>
      <c r="B238" s="151" t="s">
        <v>383</v>
      </c>
      <c r="C238" s="152">
        <v>100</v>
      </c>
      <c r="D238" s="117"/>
      <c r="E238" s="116">
        <f>D238-C238</f>
        <v>-100</v>
      </c>
      <c r="F238" s="114">
        <f>D238/C238*100</f>
        <v>0</v>
      </c>
      <c r="G238" s="122" t="s">
        <v>400</v>
      </c>
    </row>
    <row r="239" spans="1:24" x14ac:dyDescent="0.25">
      <c r="A239" s="208" t="s">
        <v>159</v>
      </c>
      <c r="B239" s="1141" t="s">
        <v>158</v>
      </c>
      <c r="C239" s="1142"/>
      <c r="D239" s="1142"/>
      <c r="E239" s="1142"/>
      <c r="F239" s="1142"/>
      <c r="G239" s="1143"/>
    </row>
    <row r="240" spans="1:24" ht="78.75" x14ac:dyDescent="0.25">
      <c r="A240" s="213"/>
      <c r="B240" s="123" t="s">
        <v>232</v>
      </c>
      <c r="C240" s="118">
        <v>1296</v>
      </c>
      <c r="D240" s="121">
        <v>200</v>
      </c>
      <c r="E240" s="232">
        <f>D240-C240</f>
        <v>-1096</v>
      </c>
      <c r="F240" s="118">
        <f>D240/C240*100</f>
        <v>15.432098765432098</v>
      </c>
      <c r="G240" s="122" t="s">
        <v>400</v>
      </c>
    </row>
    <row r="241" spans="1:7" ht="47.25" x14ac:dyDescent="0.25">
      <c r="A241" s="210"/>
      <c r="B241" s="123" t="s">
        <v>233</v>
      </c>
      <c r="C241" s="232">
        <v>90</v>
      </c>
      <c r="D241" s="120">
        <v>85</v>
      </c>
      <c r="E241" s="232">
        <f>D241-C241</f>
        <v>-5</v>
      </c>
      <c r="F241" s="118">
        <f>D241/C241*100</f>
        <v>94.444444444444443</v>
      </c>
      <c r="G241" s="122" t="s">
        <v>400</v>
      </c>
    </row>
    <row r="242" spans="1:7" ht="36.75" customHeight="1" x14ac:dyDescent="0.25">
      <c r="A242" s="209" t="s">
        <v>384</v>
      </c>
      <c r="B242" s="1136" t="s">
        <v>160</v>
      </c>
      <c r="C242" s="1137"/>
      <c r="D242" s="1137"/>
      <c r="E242" s="1137"/>
      <c r="F242" s="1137"/>
      <c r="G242" s="1138"/>
    </row>
    <row r="243" spans="1:7" x14ac:dyDescent="0.25">
      <c r="A243" s="207"/>
      <c r="B243" s="151" t="s">
        <v>249</v>
      </c>
      <c r="C243" s="163">
        <v>288</v>
      </c>
      <c r="D243" s="120">
        <v>0</v>
      </c>
      <c r="E243" s="232">
        <f>D243-C243</f>
        <v>-288</v>
      </c>
      <c r="F243" s="118">
        <f>D243/C243*100</f>
        <v>0</v>
      </c>
      <c r="G243" s="122" t="s">
        <v>400</v>
      </c>
    </row>
    <row r="244" spans="1:7" ht="47.25" x14ac:dyDescent="0.25">
      <c r="A244" s="207"/>
      <c r="B244" s="151" t="s">
        <v>385</v>
      </c>
      <c r="C244" s="163">
        <v>5</v>
      </c>
      <c r="D244" s="120">
        <v>0</v>
      </c>
      <c r="E244" s="232">
        <f>D244-C244</f>
        <v>-5</v>
      </c>
      <c r="F244" s="118">
        <f>D244/C244*100</f>
        <v>0</v>
      </c>
      <c r="G244" s="122" t="s">
        <v>400</v>
      </c>
    </row>
    <row r="245" spans="1:7" ht="47.25" x14ac:dyDescent="0.25">
      <c r="A245" s="207"/>
      <c r="B245" s="151" t="s">
        <v>386</v>
      </c>
      <c r="C245" s="163">
        <v>57.6</v>
      </c>
      <c r="D245" s="120">
        <v>0</v>
      </c>
      <c r="E245" s="232">
        <f>D245-C245</f>
        <v>-57.6</v>
      </c>
      <c r="F245" s="118">
        <f>D245/C245*100</f>
        <v>0</v>
      </c>
      <c r="G245" s="122" t="s">
        <v>400</v>
      </c>
    </row>
    <row r="246" spans="1:7" ht="47.25" x14ac:dyDescent="0.25">
      <c r="A246" s="207"/>
      <c r="B246" s="151" t="s">
        <v>387</v>
      </c>
      <c r="C246" s="163">
        <v>13</v>
      </c>
      <c r="D246" s="120">
        <v>0</v>
      </c>
      <c r="E246" s="232">
        <f>D246-C246</f>
        <v>-13</v>
      </c>
      <c r="F246" s="118">
        <f>D246/C246*100</f>
        <v>0</v>
      </c>
      <c r="G246" s="122" t="s">
        <v>400</v>
      </c>
    </row>
    <row r="247" spans="1:7" x14ac:dyDescent="0.25">
      <c r="A247" s="211" t="s">
        <v>163</v>
      </c>
      <c r="B247" s="1133" t="s">
        <v>162</v>
      </c>
      <c r="C247" s="1134"/>
      <c r="D247" s="1134"/>
      <c r="E247" s="1134"/>
      <c r="F247" s="1134"/>
      <c r="G247" s="1135"/>
    </row>
    <row r="248" spans="1:7" ht="31.5" x14ac:dyDescent="0.25">
      <c r="A248" s="213"/>
      <c r="B248" s="123" t="s">
        <v>234</v>
      </c>
      <c r="C248" s="116">
        <v>41</v>
      </c>
      <c r="D248" s="117">
        <v>6</v>
      </c>
      <c r="E248" s="116">
        <f>D248-C248</f>
        <v>-35</v>
      </c>
      <c r="F248" s="114">
        <f>D248/C248*100</f>
        <v>14.634146341463413</v>
      </c>
      <c r="G248" s="122" t="s">
        <v>400</v>
      </c>
    </row>
    <row r="249" spans="1:7" ht="47.25" x14ac:dyDescent="0.25">
      <c r="A249" s="209"/>
      <c r="B249" s="123" t="s">
        <v>235</v>
      </c>
      <c r="C249" s="116">
        <v>100</v>
      </c>
      <c r="D249" s="236">
        <f>5*100/D248</f>
        <v>83.333333333333329</v>
      </c>
      <c r="E249" s="136">
        <f>D249-C249</f>
        <v>-16.666666666666671</v>
      </c>
      <c r="F249" s="114">
        <f>D249/C249*100</f>
        <v>83.333333333333329</v>
      </c>
      <c r="G249" s="122" t="s">
        <v>400</v>
      </c>
    </row>
    <row r="250" spans="1:7" ht="47.25" x14ac:dyDescent="0.25">
      <c r="A250" s="210"/>
      <c r="B250" s="123" t="s">
        <v>236</v>
      </c>
      <c r="C250" s="116">
        <v>100</v>
      </c>
      <c r="D250" s="117">
        <v>100</v>
      </c>
      <c r="E250" s="116">
        <f>D250-C250</f>
        <v>0</v>
      </c>
      <c r="F250" s="114">
        <f>D250/C250*100</f>
        <v>100</v>
      </c>
      <c r="G250" s="122" t="s">
        <v>400</v>
      </c>
    </row>
    <row r="251" spans="1:7" x14ac:dyDescent="0.25">
      <c r="A251" s="125"/>
    </row>
    <row r="252" spans="1:7" x14ac:dyDescent="0.25">
      <c r="A252" s="125"/>
    </row>
    <row r="253" spans="1:7" x14ac:dyDescent="0.25">
      <c r="A253" s="125"/>
      <c r="B253" s="237" t="s">
        <v>406</v>
      </c>
      <c r="C253" s="238" t="s">
        <v>407</v>
      </c>
    </row>
    <row r="254" spans="1:7" ht="43.5" customHeight="1" x14ac:dyDescent="0.25">
      <c r="A254" s="125"/>
    </row>
    <row r="255" spans="1:7" ht="16.5" customHeight="1" x14ac:dyDescent="0.25">
      <c r="A255" s="125"/>
      <c r="B255" s="237" t="s">
        <v>408</v>
      </c>
    </row>
    <row r="256" spans="1:7" x14ac:dyDescent="0.25">
      <c r="A256" s="125"/>
      <c r="B256" s="237" t="s">
        <v>409</v>
      </c>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row r="610" spans="1:1" x14ac:dyDescent="0.25">
      <c r="A610" s="125"/>
    </row>
    <row r="611" spans="1:1" x14ac:dyDescent="0.25">
      <c r="A611" s="125"/>
    </row>
    <row r="612" spans="1:1" x14ac:dyDescent="0.25">
      <c r="A612" s="125"/>
    </row>
    <row r="613" spans="1:1" x14ac:dyDescent="0.25">
      <c r="A613" s="125"/>
    </row>
    <row r="614" spans="1:1" x14ac:dyDescent="0.25">
      <c r="A614" s="125"/>
    </row>
    <row r="615" spans="1:1" x14ac:dyDescent="0.25">
      <c r="A615" s="125"/>
    </row>
    <row r="616" spans="1:1" x14ac:dyDescent="0.25">
      <c r="A616" s="125"/>
    </row>
    <row r="617" spans="1:1" x14ac:dyDescent="0.25">
      <c r="A617" s="125"/>
    </row>
    <row r="618" spans="1:1" x14ac:dyDescent="0.25">
      <c r="A618" s="125"/>
    </row>
    <row r="619" spans="1:1" x14ac:dyDescent="0.25">
      <c r="A619" s="125"/>
    </row>
    <row r="620" spans="1:1" x14ac:dyDescent="0.25">
      <c r="A620" s="125"/>
    </row>
    <row r="621" spans="1:1" x14ac:dyDescent="0.25">
      <c r="A621" s="125"/>
    </row>
    <row r="622" spans="1:1" x14ac:dyDescent="0.25">
      <c r="A622" s="125"/>
    </row>
    <row r="623" spans="1:1" x14ac:dyDescent="0.25">
      <c r="A623" s="125"/>
    </row>
    <row r="624" spans="1:1" x14ac:dyDescent="0.25">
      <c r="A624" s="125"/>
    </row>
    <row r="625" spans="1:1" x14ac:dyDescent="0.25">
      <c r="A625" s="125"/>
    </row>
    <row r="626" spans="1:1" x14ac:dyDescent="0.25">
      <c r="A626" s="125"/>
    </row>
    <row r="627" spans="1:1" x14ac:dyDescent="0.25">
      <c r="A627" s="125"/>
    </row>
    <row r="628" spans="1:1" x14ac:dyDescent="0.25">
      <c r="A628" s="125"/>
    </row>
    <row r="629" spans="1:1" x14ac:dyDescent="0.25">
      <c r="A629" s="125"/>
    </row>
    <row r="630" spans="1:1" x14ac:dyDescent="0.25">
      <c r="A630" s="125"/>
    </row>
    <row r="631" spans="1:1" x14ac:dyDescent="0.25">
      <c r="A631" s="125"/>
    </row>
    <row r="632" spans="1:1" x14ac:dyDescent="0.25">
      <c r="A632" s="125"/>
    </row>
  </sheetData>
  <mergeCells count="69">
    <mergeCell ref="B28:G28"/>
    <mergeCell ref="A1:G1"/>
    <mergeCell ref="A2:G2"/>
    <mergeCell ref="A4:A5"/>
    <mergeCell ref="B4:B5"/>
    <mergeCell ref="C4:D4"/>
    <mergeCell ref="E4:E5"/>
    <mergeCell ref="F4:F5"/>
    <mergeCell ref="G4:G5"/>
    <mergeCell ref="B7:G7"/>
    <mergeCell ref="B8:G8"/>
    <mergeCell ref="B13:G13"/>
    <mergeCell ref="B18:G18"/>
    <mergeCell ref="B23:G23"/>
    <mergeCell ref="B86:G86"/>
    <mergeCell ref="B31:G31"/>
    <mergeCell ref="B36:G36"/>
    <mergeCell ref="B41:G41"/>
    <mergeCell ref="B46:G46"/>
    <mergeCell ref="B53:G53"/>
    <mergeCell ref="B57:G57"/>
    <mergeCell ref="B62:G62"/>
    <mergeCell ref="B67:G67"/>
    <mergeCell ref="B73:G73"/>
    <mergeCell ref="B78:G78"/>
    <mergeCell ref="B81:G81"/>
    <mergeCell ref="B125:G125"/>
    <mergeCell ref="B87:G87"/>
    <mergeCell ref="B92:G92"/>
    <mergeCell ref="B95:G95"/>
    <mergeCell ref="B98:G98"/>
    <mergeCell ref="B101:G101"/>
    <mergeCell ref="B107:G107"/>
    <mergeCell ref="B112:G112"/>
    <mergeCell ref="B115:G115"/>
    <mergeCell ref="B116:G116"/>
    <mergeCell ref="B119:G119"/>
    <mergeCell ref="B122:G122"/>
    <mergeCell ref="B167:G167"/>
    <mergeCell ref="B126:G126"/>
    <mergeCell ref="B131:G131"/>
    <mergeCell ref="B134:G134"/>
    <mergeCell ref="B137:G137"/>
    <mergeCell ref="B142:G142"/>
    <mergeCell ref="B145:G145"/>
    <mergeCell ref="B150:G150"/>
    <mergeCell ref="B151:G151"/>
    <mergeCell ref="B156:G156"/>
    <mergeCell ref="B161:G161"/>
    <mergeCell ref="B166:G166"/>
    <mergeCell ref="B222:G222"/>
    <mergeCell ref="B176:G176"/>
    <mergeCell ref="B181:G181"/>
    <mergeCell ref="B186:G186"/>
    <mergeCell ref="B187:G187"/>
    <mergeCell ref="B188:G188"/>
    <mergeCell ref="B194:G194"/>
    <mergeCell ref="B197:G197"/>
    <mergeCell ref="B201:G201"/>
    <mergeCell ref="B202:G202"/>
    <mergeCell ref="B209:G209"/>
    <mergeCell ref="B215:G215"/>
    <mergeCell ref="B247:G247"/>
    <mergeCell ref="B225:G225"/>
    <mergeCell ref="B228:G228"/>
    <mergeCell ref="B233:G233"/>
    <mergeCell ref="B234:G234"/>
    <mergeCell ref="B239:G239"/>
    <mergeCell ref="B242:G2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D18" sqref="D18"/>
    </sheetView>
  </sheetViews>
  <sheetFormatPr defaultRowHeight="21" x14ac:dyDescent="0.35"/>
  <cols>
    <col min="1" max="1" width="9.140625" style="80"/>
    <col min="2" max="16384" width="9.140625" style="81"/>
  </cols>
  <sheetData>
    <row r="1" spans="1:20" s="73" customFormat="1" ht="26.25" x14ac:dyDescent="0.25">
      <c r="A1" s="1118" t="s">
        <v>956</v>
      </c>
      <c r="B1" s="1118"/>
      <c r="C1" s="1118"/>
      <c r="D1" s="1118"/>
      <c r="E1" s="1118"/>
      <c r="F1" s="1118"/>
      <c r="G1" s="1118"/>
      <c r="H1" s="1118"/>
      <c r="I1" s="1118"/>
      <c r="J1" s="1118"/>
      <c r="K1" s="1118"/>
      <c r="L1" s="1118"/>
      <c r="M1" s="1118"/>
      <c r="N1" s="1118"/>
      <c r="O1" s="1118"/>
      <c r="P1" s="1118"/>
      <c r="Q1" s="1118"/>
      <c r="R1" s="1118"/>
      <c r="S1" s="1118"/>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19" t="s">
        <v>18</v>
      </c>
      <c r="C3" s="1119"/>
      <c r="D3" s="1119"/>
      <c r="E3" s="1119"/>
      <c r="F3" s="1119"/>
      <c r="G3" s="1119"/>
      <c r="H3" s="1119"/>
      <c r="I3" s="1119"/>
      <c r="J3" s="1119"/>
      <c r="K3" s="1119"/>
      <c r="L3" s="1119"/>
      <c r="M3" s="1119"/>
      <c r="N3" s="1119"/>
      <c r="O3" s="1119"/>
      <c r="P3" s="1119"/>
      <c r="Q3" s="1119"/>
      <c r="R3" s="1119"/>
      <c r="S3" s="1119"/>
      <c r="T3" s="1119"/>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19" t="s">
        <v>25</v>
      </c>
      <c r="C9" s="1119"/>
      <c r="D9" s="1119"/>
      <c r="E9" s="1119"/>
      <c r="F9" s="1119"/>
      <c r="G9" s="1119"/>
      <c r="H9" s="1119"/>
      <c r="I9" s="1119"/>
      <c r="J9" s="1119"/>
      <c r="K9" s="1119"/>
      <c r="L9" s="1119"/>
      <c r="M9" s="1119"/>
      <c r="N9" s="1119"/>
      <c r="O9" s="1119"/>
      <c r="P9" s="1119"/>
      <c r="Q9" s="1119"/>
      <c r="R9" s="1119"/>
      <c r="S9" s="1119"/>
      <c r="T9" s="1119"/>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19" t="s">
        <v>24</v>
      </c>
      <c r="C13" s="1119"/>
      <c r="D13" s="1119"/>
      <c r="E13" s="1119"/>
      <c r="F13" s="1119"/>
      <c r="G13" s="1119"/>
      <c r="H13" s="1119"/>
      <c r="I13" s="1119"/>
      <c r="J13" s="1119"/>
      <c r="K13" s="1119"/>
      <c r="L13" s="1119"/>
      <c r="M13" s="1119"/>
      <c r="N13" s="1119"/>
      <c r="O13" s="1119"/>
      <c r="P13" s="1119"/>
      <c r="Q13" s="1119"/>
      <c r="R13" s="1119"/>
      <c r="S13" s="1119"/>
      <c r="T13" s="1119"/>
    </row>
  </sheetData>
  <mergeCells count="4">
    <mergeCell ref="A1:S1"/>
    <mergeCell ref="B3:T3"/>
    <mergeCell ref="B9:T9"/>
    <mergeCell ref="B13:T13"/>
  </mergeCells>
  <pageMargins left="0.23622047244094491" right="0.23622047244094491"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Normal="100" workbookViewId="0">
      <pane ySplit="10" topLeftCell="A61" activePane="bottomLeft" state="frozen"/>
      <selection pane="bottomLeft" activeCell="I22" sqref="I22"/>
    </sheetView>
  </sheetViews>
  <sheetFormatPr defaultRowHeight="15.75" x14ac:dyDescent="0.25"/>
  <cols>
    <col min="1" max="1" width="6.42578125" style="460" customWidth="1"/>
    <col min="2" max="2" width="36.7109375" style="403" customWidth="1"/>
    <col min="3" max="3" width="26.140625" style="403" customWidth="1"/>
    <col min="4" max="4" width="14" style="459" customWidth="1"/>
    <col min="5" max="5" width="14.140625" style="112" customWidth="1"/>
    <col min="6" max="6" width="13" style="112" customWidth="1"/>
    <col min="7" max="7" width="13.5703125" style="112" customWidth="1"/>
    <col min="8" max="8" width="14" style="112" customWidth="1"/>
    <col min="9" max="9" width="15.42578125" style="112" customWidth="1"/>
    <col min="10" max="10" width="13" style="112" customWidth="1"/>
    <col min="11" max="11" width="11.85546875" style="112" customWidth="1"/>
    <col min="12" max="12" width="13" style="112" customWidth="1"/>
    <col min="13" max="13" width="11.140625" style="402" customWidth="1"/>
    <col min="14" max="14" width="14.42578125" style="402" bestFit="1" customWidth="1"/>
    <col min="15" max="69" width="9.140625" style="402"/>
    <col min="70" max="16384" width="9.140625" style="403"/>
  </cols>
  <sheetData>
    <row r="1" spans="1:69" x14ac:dyDescent="0.25">
      <c r="J1" s="341" t="s">
        <v>614</v>
      </c>
    </row>
    <row r="2" spans="1:69" x14ac:dyDescent="0.25">
      <c r="J2" s="341" t="s">
        <v>610</v>
      </c>
    </row>
    <row r="3" spans="1:69" x14ac:dyDescent="0.25">
      <c r="J3" s="341" t="s">
        <v>611</v>
      </c>
    </row>
    <row r="4" spans="1:69" x14ac:dyDescent="0.25">
      <c r="J4" s="341" t="s">
        <v>612</v>
      </c>
    </row>
    <row r="6" spans="1:69" ht="15.75" customHeight="1" x14ac:dyDescent="0.25">
      <c r="A6" s="1174" t="s">
        <v>713</v>
      </c>
      <c r="B6" s="1174"/>
      <c r="C6" s="1174"/>
      <c r="D6" s="1174"/>
      <c r="E6" s="1174"/>
      <c r="F6" s="1174"/>
      <c r="G6" s="1174"/>
      <c r="H6" s="1174"/>
      <c r="I6" s="1174"/>
      <c r="J6" s="1174"/>
      <c r="K6" s="1174"/>
      <c r="L6" s="1174"/>
    </row>
    <row r="8" spans="1:69" s="463" customFormat="1" ht="25.5" customHeight="1" x14ac:dyDescent="0.25">
      <c r="A8" s="1175" t="s">
        <v>26</v>
      </c>
      <c r="B8" s="1176" t="s">
        <v>37</v>
      </c>
      <c r="C8" s="1176" t="s">
        <v>38</v>
      </c>
      <c r="D8" s="1176" t="s">
        <v>39</v>
      </c>
      <c r="E8" s="1177" t="s">
        <v>45</v>
      </c>
      <c r="F8" s="1177"/>
      <c r="G8" s="1177"/>
      <c r="H8" s="1177"/>
      <c r="I8" s="1177" t="s">
        <v>40</v>
      </c>
      <c r="J8" s="1177"/>
      <c r="K8" s="1177"/>
      <c r="L8" s="1177"/>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row>
    <row r="9" spans="1:69" s="463" customFormat="1" ht="15.75" customHeight="1" x14ac:dyDescent="0.25">
      <c r="A9" s="1175"/>
      <c r="B9" s="1176"/>
      <c r="C9" s="1176"/>
      <c r="D9" s="1176"/>
      <c r="E9" s="1131" t="s">
        <v>41</v>
      </c>
      <c r="F9" s="1131" t="s">
        <v>42</v>
      </c>
      <c r="G9" s="1131"/>
      <c r="H9" s="1131"/>
      <c r="I9" s="1131" t="s">
        <v>41</v>
      </c>
      <c r="J9" s="1131" t="s">
        <v>42</v>
      </c>
      <c r="K9" s="1131"/>
      <c r="L9" s="1178"/>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row>
    <row r="10" spans="1:69" s="463" customFormat="1" ht="33" customHeight="1" x14ac:dyDescent="0.25">
      <c r="A10" s="1175"/>
      <c r="B10" s="1176"/>
      <c r="C10" s="1176"/>
      <c r="D10" s="1176"/>
      <c r="E10" s="1131"/>
      <c r="F10" s="108" t="s">
        <v>44</v>
      </c>
      <c r="G10" s="108" t="s">
        <v>43</v>
      </c>
      <c r="H10" s="108" t="s">
        <v>27</v>
      </c>
      <c r="I10" s="1131"/>
      <c r="J10" s="108" t="s">
        <v>44</v>
      </c>
      <c r="K10" s="315" t="s">
        <v>43</v>
      </c>
      <c r="L10" s="108" t="s">
        <v>27</v>
      </c>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row>
    <row r="11" spans="1:69" s="463" customFormat="1" x14ac:dyDescent="0.25">
      <c r="A11" s="461" t="s">
        <v>28</v>
      </c>
      <c r="B11" s="318">
        <v>2</v>
      </c>
      <c r="C11" s="461" t="s">
        <v>103</v>
      </c>
      <c r="D11" s="318">
        <v>4</v>
      </c>
      <c r="E11" s="108" t="s">
        <v>155</v>
      </c>
      <c r="F11" s="295">
        <v>6</v>
      </c>
      <c r="G11" s="434">
        <v>7</v>
      </c>
      <c r="H11" s="295">
        <v>8</v>
      </c>
      <c r="I11" s="434">
        <v>9</v>
      </c>
      <c r="J11" s="295">
        <v>10</v>
      </c>
      <c r="K11" s="433">
        <v>11</v>
      </c>
      <c r="L11" s="295">
        <v>12</v>
      </c>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row>
    <row r="12" spans="1:69" s="470" customFormat="1" ht="31.5" x14ac:dyDescent="0.25">
      <c r="A12" s="464" t="s">
        <v>17</v>
      </c>
      <c r="B12" s="465" t="s">
        <v>48</v>
      </c>
      <c r="C12" s="466"/>
      <c r="D12" s="466"/>
      <c r="E12" s="435">
        <f>SUM(F12:H12)</f>
        <v>36348</v>
      </c>
      <c r="F12" s="467">
        <f>F13+F17+F18+F19+F20+F21+F22+F27+F31</f>
        <v>5286.74</v>
      </c>
      <c r="G12" s="467">
        <f>G13+G17+G18+G19+G20+G21+G22+G27+G31</f>
        <v>3467.48</v>
      </c>
      <c r="H12" s="467">
        <f>H13+H17+H18+H19+H20+H21+H22+H27+H31</f>
        <v>27593.780000000002</v>
      </c>
      <c r="I12" s="435">
        <f>SUM(J12:L12)</f>
        <v>8687.7090000000007</v>
      </c>
      <c r="J12" s="435">
        <f>J13+J17+J18+J19+J20+J20+J21+J22+J27+J31</f>
        <v>1633.5213200000001</v>
      </c>
      <c r="K12" s="435">
        <f>K13+K17+K18+K19+K20+K20+K21+K22+K27+K31</f>
        <v>428.4</v>
      </c>
      <c r="L12" s="435">
        <f>L13+L17+L18+L19+L20+L20+L21+L22+L27+L31</f>
        <v>6625.7876800000013</v>
      </c>
      <c r="M12" s="468"/>
      <c r="N12" s="469"/>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row>
    <row r="13" spans="1:69" s="475" customFormat="1" ht="96" customHeight="1" x14ac:dyDescent="0.25">
      <c r="A13" s="471" t="s">
        <v>46</v>
      </c>
      <c r="B13" s="472" t="s">
        <v>542</v>
      </c>
      <c r="C13" s="473"/>
      <c r="D13" s="473"/>
      <c r="E13" s="437">
        <f t="shared" ref="E13:E80" si="0">SUM(F13:H13)</f>
        <v>23007.980000000003</v>
      </c>
      <c r="F13" s="436">
        <v>0</v>
      </c>
      <c r="G13" s="436">
        <v>0</v>
      </c>
      <c r="H13" s="436">
        <f>SUM(H14:H16)</f>
        <v>23007.980000000003</v>
      </c>
      <c r="I13" s="437">
        <f t="shared" ref="I13:I21" si="1">SUM(J13:L13)</f>
        <v>5319.0303500000009</v>
      </c>
      <c r="J13" s="437">
        <f>SUM(J14:J16)</f>
        <v>0</v>
      </c>
      <c r="K13" s="437">
        <f>SUM(K14:K16)</f>
        <v>0</v>
      </c>
      <c r="L13" s="437">
        <f>SUM(L14:L16)</f>
        <v>5319.0303500000009</v>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row>
    <row r="14" spans="1:69" s="481" customFormat="1" ht="25.5" x14ac:dyDescent="0.25">
      <c r="A14" s="476"/>
      <c r="B14" s="477" t="s">
        <v>616</v>
      </c>
      <c r="C14" s="478" t="s">
        <v>34</v>
      </c>
      <c r="D14" s="479" t="s">
        <v>543</v>
      </c>
      <c r="E14" s="93">
        <f t="shared" si="0"/>
        <v>12076.45</v>
      </c>
      <c r="F14" s="312">
        <v>0</v>
      </c>
      <c r="G14" s="312">
        <v>0</v>
      </c>
      <c r="H14" s="312">
        <v>12076.45</v>
      </c>
      <c r="I14" s="93">
        <f t="shared" si="1"/>
        <v>1620.15</v>
      </c>
      <c r="J14" s="93">
        <v>0</v>
      </c>
      <c r="K14" s="313">
        <v>0</v>
      </c>
      <c r="L14" s="93">
        <v>1620.15</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row>
    <row r="15" spans="1:69" s="481" customFormat="1" ht="25.5" x14ac:dyDescent="0.25">
      <c r="A15" s="476"/>
      <c r="B15" s="477" t="s">
        <v>617</v>
      </c>
      <c r="C15" s="478" t="s">
        <v>34</v>
      </c>
      <c r="D15" s="479" t="s">
        <v>543</v>
      </c>
      <c r="E15" s="93">
        <f t="shared" si="0"/>
        <v>6662.29</v>
      </c>
      <c r="F15" s="312">
        <v>0</v>
      </c>
      <c r="G15" s="312">
        <v>0</v>
      </c>
      <c r="H15" s="312">
        <v>6662.29</v>
      </c>
      <c r="I15" s="93">
        <f t="shared" si="1"/>
        <v>3117.7003500000001</v>
      </c>
      <c r="J15" s="93">
        <v>0</v>
      </c>
      <c r="K15" s="313">
        <v>0</v>
      </c>
      <c r="L15" s="93">
        <v>3117.7003500000001</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row>
    <row r="16" spans="1:69" s="481" customFormat="1" ht="25.5" x14ac:dyDescent="0.25">
      <c r="A16" s="476"/>
      <c r="B16" s="482" t="s">
        <v>618</v>
      </c>
      <c r="C16" s="478" t="s">
        <v>34</v>
      </c>
      <c r="D16" s="479" t="s">
        <v>543</v>
      </c>
      <c r="E16" s="93">
        <f t="shared" si="0"/>
        <v>4269.24</v>
      </c>
      <c r="F16" s="312">
        <v>0</v>
      </c>
      <c r="G16" s="312">
        <v>0</v>
      </c>
      <c r="H16" s="312">
        <v>4269.24</v>
      </c>
      <c r="I16" s="93">
        <f t="shared" si="1"/>
        <v>581.17999999999995</v>
      </c>
      <c r="J16" s="93">
        <v>0</v>
      </c>
      <c r="K16" s="313">
        <v>0</v>
      </c>
      <c r="L16" s="93">
        <v>581.17999999999995</v>
      </c>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row>
    <row r="17" spans="1:69" s="470" customFormat="1" ht="82.5" customHeight="1" x14ac:dyDescent="0.25">
      <c r="A17" s="471" t="s">
        <v>247</v>
      </c>
      <c r="B17" s="483" t="s">
        <v>248</v>
      </c>
      <c r="C17" s="473" t="s">
        <v>51</v>
      </c>
      <c r="D17" s="484" t="s">
        <v>543</v>
      </c>
      <c r="E17" s="437">
        <f t="shared" si="0"/>
        <v>550</v>
      </c>
      <c r="F17" s="436">
        <v>0</v>
      </c>
      <c r="G17" s="436">
        <v>0</v>
      </c>
      <c r="H17" s="438">
        <v>550</v>
      </c>
      <c r="I17" s="437">
        <f t="shared" si="1"/>
        <v>634.59699999999998</v>
      </c>
      <c r="J17" s="437">
        <v>0</v>
      </c>
      <c r="K17" s="439">
        <v>0</v>
      </c>
      <c r="L17" s="437">
        <v>634.59699999999998</v>
      </c>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row>
    <row r="18" spans="1:69" s="475" customFormat="1" ht="63" x14ac:dyDescent="0.25">
      <c r="A18" s="471" t="s">
        <v>253</v>
      </c>
      <c r="B18" s="483" t="s">
        <v>547</v>
      </c>
      <c r="C18" s="473" t="s">
        <v>34</v>
      </c>
      <c r="D18" s="484" t="s">
        <v>544</v>
      </c>
      <c r="E18" s="437">
        <f t="shared" si="0"/>
        <v>0</v>
      </c>
      <c r="F18" s="436">
        <v>0</v>
      </c>
      <c r="G18" s="436">
        <v>0</v>
      </c>
      <c r="H18" s="437">
        <v>0</v>
      </c>
      <c r="I18" s="437">
        <f t="shared" si="1"/>
        <v>426.27</v>
      </c>
      <c r="J18" s="437">
        <v>0</v>
      </c>
      <c r="K18" s="439">
        <v>0</v>
      </c>
      <c r="L18" s="437">
        <v>426.27</v>
      </c>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row>
    <row r="19" spans="1:69" s="475" customFormat="1" ht="78.75" x14ac:dyDescent="0.25">
      <c r="A19" s="471" t="s">
        <v>546</v>
      </c>
      <c r="B19" s="483" t="s">
        <v>55</v>
      </c>
      <c r="C19" s="473" t="s">
        <v>51</v>
      </c>
      <c r="D19" s="473" t="s">
        <v>543</v>
      </c>
      <c r="E19" s="437">
        <f t="shared" si="0"/>
        <v>1150</v>
      </c>
      <c r="F19" s="436">
        <v>0</v>
      </c>
      <c r="G19" s="436">
        <v>0</v>
      </c>
      <c r="H19" s="437">
        <v>1150</v>
      </c>
      <c r="I19" s="437">
        <f t="shared" si="1"/>
        <v>162.13999999999999</v>
      </c>
      <c r="J19" s="437">
        <v>0</v>
      </c>
      <c r="K19" s="439">
        <v>0</v>
      </c>
      <c r="L19" s="437">
        <v>162.13999999999999</v>
      </c>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row>
    <row r="20" spans="1:69" s="475" customFormat="1" ht="110.25" x14ac:dyDescent="0.25">
      <c r="A20" s="471" t="s">
        <v>256</v>
      </c>
      <c r="B20" s="483" t="s">
        <v>548</v>
      </c>
      <c r="C20" s="473" t="s">
        <v>545</v>
      </c>
      <c r="D20" s="473" t="s">
        <v>543</v>
      </c>
      <c r="E20" s="436">
        <f t="shared" si="0"/>
        <v>1950.8</v>
      </c>
      <c r="F20" s="436">
        <v>0</v>
      </c>
      <c r="G20" s="436">
        <v>0</v>
      </c>
      <c r="H20" s="437">
        <v>1950.8</v>
      </c>
      <c r="I20" s="437">
        <f t="shared" si="1"/>
        <v>0</v>
      </c>
      <c r="J20" s="437">
        <v>0</v>
      </c>
      <c r="K20" s="439">
        <v>0</v>
      </c>
      <c r="L20" s="437">
        <v>0</v>
      </c>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row>
    <row r="21" spans="1:69" s="475" customFormat="1" ht="78.75" x14ac:dyDescent="0.25">
      <c r="A21" s="471" t="s">
        <v>261</v>
      </c>
      <c r="B21" s="485" t="s">
        <v>57</v>
      </c>
      <c r="C21" s="473" t="s">
        <v>34</v>
      </c>
      <c r="D21" s="484" t="s">
        <v>543</v>
      </c>
      <c r="E21" s="437">
        <f t="shared" si="0"/>
        <v>635</v>
      </c>
      <c r="F21" s="437">
        <v>0</v>
      </c>
      <c r="G21" s="437">
        <v>0</v>
      </c>
      <c r="H21" s="437">
        <v>635</v>
      </c>
      <c r="I21" s="437">
        <f t="shared" si="1"/>
        <v>41.8</v>
      </c>
      <c r="J21" s="437">
        <v>0</v>
      </c>
      <c r="K21" s="439">
        <v>0</v>
      </c>
      <c r="L21" s="437">
        <v>41.8</v>
      </c>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row>
    <row r="22" spans="1:69" s="475" customFormat="1" ht="94.5" x14ac:dyDescent="0.25">
      <c r="A22" s="471" t="s">
        <v>265</v>
      </c>
      <c r="B22" s="472" t="s">
        <v>549</v>
      </c>
      <c r="C22" s="486" t="s">
        <v>552</v>
      </c>
      <c r="D22" s="484" t="s">
        <v>550</v>
      </c>
      <c r="E22" s="437">
        <f t="shared" si="0"/>
        <v>3916.19</v>
      </c>
      <c r="F22" s="437">
        <f>SUM(F23:F26)</f>
        <v>2163.29</v>
      </c>
      <c r="G22" s="437">
        <f>SUM(G23:G26)</f>
        <v>1752.9</v>
      </c>
      <c r="H22" s="437">
        <f>SUM(H23:H26)</f>
        <v>0</v>
      </c>
      <c r="I22" s="437">
        <f>SUM(J22:L22)</f>
        <v>1641.6786299999999</v>
      </c>
      <c r="J22" s="437">
        <f>SUM(J23:J26)</f>
        <v>1599.7283</v>
      </c>
      <c r="K22" s="437">
        <f>SUM(K23:K26)</f>
        <v>0</v>
      </c>
      <c r="L22" s="437">
        <f>SUM(L23:L26)</f>
        <v>41.950329999999994</v>
      </c>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row>
    <row r="23" spans="1:69" s="481" customFormat="1" ht="89.25" x14ac:dyDescent="0.25">
      <c r="A23" s="476"/>
      <c r="B23" s="477" t="s">
        <v>678</v>
      </c>
      <c r="C23" s="479" t="s">
        <v>680</v>
      </c>
      <c r="D23" s="479" t="s">
        <v>550</v>
      </c>
      <c r="E23" s="312">
        <f t="shared" si="0"/>
        <v>0</v>
      </c>
      <c r="F23" s="312">
        <v>0</v>
      </c>
      <c r="G23" s="312">
        <v>0</v>
      </c>
      <c r="H23" s="312">
        <v>0</v>
      </c>
      <c r="I23" s="93">
        <f t="shared" ref="I23:I35" si="2">SUM(J23:L23)</f>
        <v>0</v>
      </c>
      <c r="J23" s="93">
        <v>0</v>
      </c>
      <c r="K23" s="313">
        <v>0</v>
      </c>
      <c r="L23" s="93">
        <v>0</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row>
    <row r="24" spans="1:69" s="481" customFormat="1" ht="89.25" x14ac:dyDescent="0.25">
      <c r="A24" s="476"/>
      <c r="B24" s="477" t="s">
        <v>679</v>
      </c>
      <c r="C24" s="487" t="s">
        <v>552</v>
      </c>
      <c r="D24" s="479" t="s">
        <v>550</v>
      </c>
      <c r="E24" s="312">
        <f t="shared" si="0"/>
        <v>292.90000000000003</v>
      </c>
      <c r="F24" s="312">
        <v>0</v>
      </c>
      <c r="G24" s="312">
        <v>292.90000000000003</v>
      </c>
      <c r="H24" s="312">
        <v>0</v>
      </c>
      <c r="I24" s="93">
        <f t="shared" si="2"/>
        <v>0</v>
      </c>
      <c r="J24" s="93">
        <v>0</v>
      </c>
      <c r="K24" s="313">
        <v>0</v>
      </c>
      <c r="L24" s="93">
        <v>0</v>
      </c>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row>
    <row r="25" spans="1:69" s="481" customFormat="1" ht="63.75" x14ac:dyDescent="0.25">
      <c r="A25" s="476"/>
      <c r="B25" s="488" t="s">
        <v>681</v>
      </c>
      <c r="C25" s="479" t="s">
        <v>551</v>
      </c>
      <c r="D25" s="479" t="s">
        <v>550</v>
      </c>
      <c r="E25" s="93">
        <f t="shared" si="0"/>
        <v>0</v>
      </c>
      <c r="F25" s="93">
        <v>0</v>
      </c>
      <c r="G25" s="93">
        <v>0</v>
      </c>
      <c r="H25" s="93">
        <v>0</v>
      </c>
      <c r="I25" s="93">
        <f t="shared" si="2"/>
        <v>0</v>
      </c>
      <c r="J25" s="93">
        <v>0</v>
      </c>
      <c r="K25" s="313">
        <v>0</v>
      </c>
      <c r="L25" s="93">
        <v>0</v>
      </c>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row>
    <row r="26" spans="1:69" s="481" customFormat="1" ht="25.5" x14ac:dyDescent="0.25">
      <c r="A26" s="476"/>
      <c r="B26" s="477" t="s">
        <v>682</v>
      </c>
      <c r="C26" s="487" t="s">
        <v>62</v>
      </c>
      <c r="D26" s="479" t="s">
        <v>543</v>
      </c>
      <c r="E26" s="93">
        <f t="shared" si="0"/>
        <v>3623.29</v>
      </c>
      <c r="F26" s="93">
        <v>2163.29</v>
      </c>
      <c r="G26" s="93">
        <v>1460</v>
      </c>
      <c r="H26" s="93">
        <v>0</v>
      </c>
      <c r="I26" s="93">
        <f t="shared" si="2"/>
        <v>1641.6786299999999</v>
      </c>
      <c r="J26" s="93">
        <f>166.182+1433.5463</f>
        <v>1599.7283</v>
      </c>
      <c r="K26" s="313">
        <v>0</v>
      </c>
      <c r="L26" s="93">
        <f>4.90163+37.0487</f>
        <v>41.950329999999994</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row>
    <row r="27" spans="1:69" s="475" customFormat="1" ht="63" x14ac:dyDescent="0.25">
      <c r="A27" s="471" t="s">
        <v>427</v>
      </c>
      <c r="B27" s="489" t="s">
        <v>430</v>
      </c>
      <c r="C27" s="490" t="s">
        <v>62</v>
      </c>
      <c r="D27" s="484" t="s">
        <v>543</v>
      </c>
      <c r="E27" s="437">
        <f t="shared" si="0"/>
        <v>4838.03</v>
      </c>
      <c r="F27" s="437">
        <f>SUM(F28:F30)</f>
        <v>3123.45</v>
      </c>
      <c r="G27" s="437">
        <f>SUM(G28:G30)</f>
        <v>1714.58</v>
      </c>
      <c r="H27" s="437">
        <f>SUM(H28:H30)</f>
        <v>0</v>
      </c>
      <c r="I27" s="437">
        <f t="shared" si="2"/>
        <v>462.19301999999999</v>
      </c>
      <c r="J27" s="437">
        <f>SUM(J28:J30)</f>
        <v>33.793019999999999</v>
      </c>
      <c r="K27" s="437">
        <f>SUM(K28:K30)</f>
        <v>428.4</v>
      </c>
      <c r="L27" s="437">
        <f>SUM(L28:L30)</f>
        <v>0</v>
      </c>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row>
    <row r="28" spans="1:69" s="481" customFormat="1" ht="25.5" x14ac:dyDescent="0.25">
      <c r="A28" s="476"/>
      <c r="B28" s="477" t="s">
        <v>619</v>
      </c>
      <c r="C28" s="487" t="s">
        <v>62</v>
      </c>
      <c r="D28" s="479" t="s">
        <v>543</v>
      </c>
      <c r="E28" s="93">
        <f t="shared" si="0"/>
        <v>3108.87</v>
      </c>
      <c r="F28" s="93">
        <v>3108.87</v>
      </c>
      <c r="G28" s="93">
        <v>0</v>
      </c>
      <c r="H28" s="93">
        <v>0</v>
      </c>
      <c r="I28" s="93">
        <f t="shared" si="2"/>
        <v>33.793019999999999</v>
      </c>
      <c r="J28" s="93">
        <f>7.51096+26.28206</f>
        <v>33.793019999999999</v>
      </c>
      <c r="K28" s="313">
        <v>0</v>
      </c>
      <c r="L28" s="93">
        <v>0</v>
      </c>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row>
    <row r="29" spans="1:69" s="481" customFormat="1" ht="51" x14ac:dyDescent="0.25">
      <c r="A29" s="476"/>
      <c r="B29" s="477" t="s">
        <v>620</v>
      </c>
      <c r="C29" s="487" t="s">
        <v>62</v>
      </c>
      <c r="D29" s="479" t="s">
        <v>543</v>
      </c>
      <c r="E29" s="93">
        <f t="shared" si="0"/>
        <v>1714.58</v>
      </c>
      <c r="F29" s="93">
        <v>0</v>
      </c>
      <c r="G29" s="93">
        <v>1714.58</v>
      </c>
      <c r="H29" s="93">
        <v>0</v>
      </c>
      <c r="I29" s="93">
        <f t="shared" si="2"/>
        <v>428.4</v>
      </c>
      <c r="J29" s="93">
        <v>0</v>
      </c>
      <c r="K29" s="313">
        <v>428.4</v>
      </c>
      <c r="L29" s="93">
        <v>0</v>
      </c>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row>
    <row r="30" spans="1:69" s="481" customFormat="1" ht="44.25" customHeight="1" x14ac:dyDescent="0.25">
      <c r="A30" s="476"/>
      <c r="B30" s="477" t="s">
        <v>621</v>
      </c>
      <c r="C30" s="487" t="s">
        <v>62</v>
      </c>
      <c r="D30" s="479" t="s">
        <v>543</v>
      </c>
      <c r="E30" s="93">
        <f t="shared" si="0"/>
        <v>14.58</v>
      </c>
      <c r="F30" s="93">
        <v>14.58</v>
      </c>
      <c r="G30" s="93">
        <v>0</v>
      </c>
      <c r="H30" s="93">
        <v>0</v>
      </c>
      <c r="I30" s="93">
        <f t="shared" si="2"/>
        <v>0</v>
      </c>
      <c r="J30" s="93">
        <v>0</v>
      </c>
      <c r="K30" s="313">
        <v>0</v>
      </c>
      <c r="L30" s="93">
        <v>0</v>
      </c>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row>
    <row r="31" spans="1:69" s="475" customFormat="1" ht="110.25" x14ac:dyDescent="0.25">
      <c r="A31" s="471" t="s">
        <v>283</v>
      </c>
      <c r="B31" s="489" t="s">
        <v>432</v>
      </c>
      <c r="C31" s="473" t="s">
        <v>585</v>
      </c>
      <c r="D31" s="473" t="s">
        <v>543</v>
      </c>
      <c r="E31" s="437">
        <f t="shared" si="0"/>
        <v>300</v>
      </c>
      <c r="F31" s="437">
        <v>0</v>
      </c>
      <c r="G31" s="437">
        <v>0</v>
      </c>
      <c r="H31" s="438">
        <v>300</v>
      </c>
      <c r="I31" s="437">
        <f t="shared" si="2"/>
        <v>0</v>
      </c>
      <c r="J31" s="437">
        <v>0</v>
      </c>
      <c r="K31" s="439">
        <v>0</v>
      </c>
      <c r="L31" s="437">
        <v>0</v>
      </c>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row>
    <row r="32" spans="1:69" s="470" customFormat="1" ht="63" x14ac:dyDescent="0.25">
      <c r="A32" s="464" t="s">
        <v>78</v>
      </c>
      <c r="B32" s="491" t="s">
        <v>77</v>
      </c>
      <c r="C32" s="466"/>
      <c r="D32" s="491"/>
      <c r="E32" s="435">
        <f t="shared" si="0"/>
        <v>7242.68</v>
      </c>
      <c r="F32" s="435">
        <f>F33+F34+F35+F39+F40</f>
        <v>0</v>
      </c>
      <c r="G32" s="435">
        <f>G33+G34+G35+G39+G40</f>
        <v>6080.38</v>
      </c>
      <c r="H32" s="435">
        <f>H33+H34+H35+H39+H40</f>
        <v>1162.3</v>
      </c>
      <c r="I32" s="435">
        <f t="shared" si="2"/>
        <v>1026.9517800000001</v>
      </c>
      <c r="J32" s="435">
        <f>SUM(J33+J34+J35+J39+J40)</f>
        <v>0</v>
      </c>
      <c r="K32" s="435">
        <f>SUM(K33+K34+K35+K39+K40)</f>
        <v>0</v>
      </c>
      <c r="L32" s="435">
        <f>SUM(L33+L34+L35+L39+L40)</f>
        <v>1026.9517800000001</v>
      </c>
      <c r="M32" s="468"/>
      <c r="N32" s="469"/>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row>
    <row r="33" spans="1:69" s="475" customFormat="1" ht="63" x14ac:dyDescent="0.25">
      <c r="A33" s="471" t="s">
        <v>296</v>
      </c>
      <c r="B33" s="489" t="s">
        <v>433</v>
      </c>
      <c r="C33" s="473" t="s">
        <v>553</v>
      </c>
      <c r="D33" s="473" t="s">
        <v>543</v>
      </c>
      <c r="E33" s="437">
        <f t="shared" si="0"/>
        <v>6080.38</v>
      </c>
      <c r="F33" s="437">
        <v>0</v>
      </c>
      <c r="G33" s="438">
        <v>6080.38</v>
      </c>
      <c r="H33" s="437">
        <v>0</v>
      </c>
      <c r="I33" s="437">
        <f t="shared" si="2"/>
        <v>138.36407</v>
      </c>
      <c r="J33" s="437">
        <v>0</v>
      </c>
      <c r="K33" s="439">
        <v>0</v>
      </c>
      <c r="L33" s="437">
        <f>133.80651+4.55756</f>
        <v>138.36407</v>
      </c>
      <c r="M33" s="474"/>
      <c r="N33" s="492"/>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row>
    <row r="34" spans="1:69" s="475" customFormat="1" ht="84" customHeight="1" x14ac:dyDescent="0.25">
      <c r="A34" s="471" t="s">
        <v>297</v>
      </c>
      <c r="B34" s="489" t="s">
        <v>554</v>
      </c>
      <c r="C34" s="473" t="s">
        <v>62</v>
      </c>
      <c r="D34" s="473" t="s">
        <v>543</v>
      </c>
      <c r="E34" s="437">
        <f t="shared" si="0"/>
        <v>0</v>
      </c>
      <c r="F34" s="437">
        <v>0</v>
      </c>
      <c r="G34" s="437">
        <v>0</v>
      </c>
      <c r="H34" s="437">
        <v>0</v>
      </c>
      <c r="I34" s="437">
        <f t="shared" si="2"/>
        <v>0</v>
      </c>
      <c r="J34" s="437">
        <v>0</v>
      </c>
      <c r="K34" s="439">
        <v>0</v>
      </c>
      <c r="L34" s="437">
        <v>0</v>
      </c>
      <c r="M34" s="474"/>
      <c r="N34" s="492"/>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row>
    <row r="35" spans="1:69" s="475" customFormat="1" ht="78.75" x14ac:dyDescent="0.25">
      <c r="A35" s="471" t="s">
        <v>298</v>
      </c>
      <c r="B35" s="493" t="s">
        <v>446</v>
      </c>
      <c r="C35" s="473" t="s">
        <v>555</v>
      </c>
      <c r="D35" s="484" t="s">
        <v>543</v>
      </c>
      <c r="E35" s="437">
        <f t="shared" si="0"/>
        <v>1111.3</v>
      </c>
      <c r="F35" s="437">
        <f>SUM(F36:F38)</f>
        <v>0</v>
      </c>
      <c r="G35" s="437">
        <f>SUM(G36:G38)</f>
        <v>0</v>
      </c>
      <c r="H35" s="437">
        <f>SUM(H36:H38)</f>
        <v>1111.3</v>
      </c>
      <c r="I35" s="437">
        <f t="shared" si="2"/>
        <v>888.58771000000002</v>
      </c>
      <c r="J35" s="437">
        <f>SUM(J36:J38)</f>
        <v>0</v>
      </c>
      <c r="K35" s="437">
        <f>SUM(K36:K38)</f>
        <v>0</v>
      </c>
      <c r="L35" s="437">
        <f>SUM(L36:L38)</f>
        <v>888.58771000000002</v>
      </c>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row>
    <row r="36" spans="1:69" s="481" customFormat="1" ht="55.5" customHeight="1" x14ac:dyDescent="0.25">
      <c r="A36" s="476"/>
      <c r="B36" s="482" t="s">
        <v>622</v>
      </c>
      <c r="C36" s="478" t="s">
        <v>51</v>
      </c>
      <c r="D36" s="479" t="s">
        <v>543</v>
      </c>
      <c r="E36" s="93">
        <f t="shared" si="0"/>
        <v>672</v>
      </c>
      <c r="F36" s="93">
        <v>0</v>
      </c>
      <c r="G36" s="93">
        <v>0</v>
      </c>
      <c r="H36" s="93">
        <v>672</v>
      </c>
      <c r="I36" s="93">
        <f t="shared" ref="I36:I73" si="3">SUM(J36:L36)</f>
        <v>662.77071000000001</v>
      </c>
      <c r="J36" s="93">
        <v>0</v>
      </c>
      <c r="K36" s="313">
        <v>0</v>
      </c>
      <c r="L36" s="93">
        <v>662.77071000000001</v>
      </c>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row>
    <row r="37" spans="1:69" s="481" customFormat="1" ht="51" x14ac:dyDescent="0.25">
      <c r="A37" s="476"/>
      <c r="B37" s="494" t="s">
        <v>623</v>
      </c>
      <c r="C37" s="479" t="s">
        <v>555</v>
      </c>
      <c r="D37" s="479" t="s">
        <v>543</v>
      </c>
      <c r="E37" s="93">
        <f t="shared" si="0"/>
        <v>136.9</v>
      </c>
      <c r="F37" s="93">
        <v>0</v>
      </c>
      <c r="G37" s="93">
        <v>0</v>
      </c>
      <c r="H37" s="399">
        <v>136.9</v>
      </c>
      <c r="I37" s="93">
        <f t="shared" si="3"/>
        <v>0</v>
      </c>
      <c r="J37" s="93">
        <v>0</v>
      </c>
      <c r="K37" s="313">
        <v>0</v>
      </c>
      <c r="L37" s="93">
        <v>0</v>
      </c>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row>
    <row r="38" spans="1:69" s="481" customFormat="1" ht="31.5" customHeight="1" x14ac:dyDescent="0.25">
      <c r="A38" s="476"/>
      <c r="B38" s="482" t="s">
        <v>624</v>
      </c>
      <c r="C38" s="479" t="s">
        <v>51</v>
      </c>
      <c r="D38" s="479" t="s">
        <v>543</v>
      </c>
      <c r="E38" s="93">
        <f t="shared" si="0"/>
        <v>302.39999999999998</v>
      </c>
      <c r="F38" s="93">
        <v>0</v>
      </c>
      <c r="G38" s="93">
        <v>0</v>
      </c>
      <c r="H38" s="399">
        <v>302.39999999999998</v>
      </c>
      <c r="I38" s="93">
        <f t="shared" si="3"/>
        <v>225.81700000000001</v>
      </c>
      <c r="J38" s="93">
        <v>0</v>
      </c>
      <c r="K38" s="313">
        <v>0</v>
      </c>
      <c r="L38" s="93">
        <v>225.81700000000001</v>
      </c>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row>
    <row r="39" spans="1:69" s="475" customFormat="1" ht="47.25" x14ac:dyDescent="0.25">
      <c r="A39" s="471" t="s">
        <v>299</v>
      </c>
      <c r="B39" s="472" t="s">
        <v>556</v>
      </c>
      <c r="C39" s="484" t="s">
        <v>62</v>
      </c>
      <c r="D39" s="484" t="s">
        <v>543</v>
      </c>
      <c r="E39" s="437">
        <f t="shared" si="0"/>
        <v>0</v>
      </c>
      <c r="F39" s="437">
        <v>0</v>
      </c>
      <c r="G39" s="437">
        <v>0</v>
      </c>
      <c r="H39" s="437">
        <v>0</v>
      </c>
      <c r="I39" s="437">
        <f t="shared" si="3"/>
        <v>0</v>
      </c>
      <c r="J39" s="437">
        <v>0</v>
      </c>
      <c r="K39" s="439">
        <v>0</v>
      </c>
      <c r="L39" s="437">
        <v>0</v>
      </c>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row>
    <row r="40" spans="1:69" s="475" customFormat="1" ht="67.5" customHeight="1" x14ac:dyDescent="0.25">
      <c r="A40" s="495" t="s">
        <v>306</v>
      </c>
      <c r="B40" s="496" t="s">
        <v>557</v>
      </c>
      <c r="C40" s="473" t="s">
        <v>555</v>
      </c>
      <c r="D40" s="484" t="s">
        <v>543</v>
      </c>
      <c r="E40" s="438">
        <f>SUM(F40:H40)</f>
        <v>51</v>
      </c>
      <c r="F40" s="438">
        <f>F41+F42</f>
        <v>0</v>
      </c>
      <c r="G40" s="438">
        <f>G41+G42</f>
        <v>0</v>
      </c>
      <c r="H40" s="438">
        <f>H41+H42</f>
        <v>51</v>
      </c>
      <c r="I40" s="437">
        <f t="shared" si="3"/>
        <v>0</v>
      </c>
      <c r="J40" s="438">
        <f>SUM(J41:J42)</f>
        <v>0</v>
      </c>
      <c r="K40" s="438">
        <v>0</v>
      </c>
      <c r="L40" s="438">
        <v>0</v>
      </c>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row>
    <row r="41" spans="1:69" s="482" customFormat="1" ht="18" customHeight="1" x14ac:dyDescent="0.2">
      <c r="A41" s="476"/>
      <c r="B41" s="482" t="s">
        <v>625</v>
      </c>
      <c r="C41" s="478" t="s">
        <v>59</v>
      </c>
      <c r="D41" s="478" t="s">
        <v>543</v>
      </c>
      <c r="E41" s="93">
        <f t="shared" si="0"/>
        <v>0</v>
      </c>
      <c r="F41" s="93">
        <v>0</v>
      </c>
      <c r="G41" s="93"/>
      <c r="H41" s="93">
        <v>0</v>
      </c>
      <c r="I41" s="93">
        <f t="shared" si="3"/>
        <v>0</v>
      </c>
      <c r="J41" s="93">
        <v>0</v>
      </c>
      <c r="K41" s="313">
        <v>0</v>
      </c>
      <c r="L41" s="93">
        <v>0</v>
      </c>
      <c r="M41" s="497"/>
      <c r="N41" s="498"/>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row>
    <row r="42" spans="1:69" s="482" customFormat="1" ht="27.75" customHeight="1" x14ac:dyDescent="0.25">
      <c r="A42" s="476"/>
      <c r="B42" s="482" t="s">
        <v>626</v>
      </c>
      <c r="C42" s="478" t="s">
        <v>558</v>
      </c>
      <c r="D42" s="478" t="s">
        <v>543</v>
      </c>
      <c r="E42" s="93">
        <f t="shared" si="0"/>
        <v>51</v>
      </c>
      <c r="F42" s="93">
        <v>0</v>
      </c>
      <c r="G42" s="93">
        <v>0</v>
      </c>
      <c r="H42" s="93">
        <v>51</v>
      </c>
      <c r="I42" s="93">
        <f t="shared" si="3"/>
        <v>0</v>
      </c>
      <c r="J42" s="93">
        <v>0</v>
      </c>
      <c r="K42" s="313">
        <v>0</v>
      </c>
      <c r="L42" s="93">
        <v>0</v>
      </c>
      <c r="M42" s="480"/>
      <c r="N42" s="498"/>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row>
    <row r="43" spans="1:69" s="470" customFormat="1" ht="47.25" x14ac:dyDescent="0.25">
      <c r="A43" s="499" t="s">
        <v>559</v>
      </c>
      <c r="B43" s="500" t="s">
        <v>561</v>
      </c>
      <c r="C43" s="501"/>
      <c r="D43" s="501"/>
      <c r="E43" s="435">
        <f t="shared" si="0"/>
        <v>22323.351310000002</v>
      </c>
      <c r="F43" s="435">
        <f>F44+F50+F51+F57+F63</f>
        <v>830.95</v>
      </c>
      <c r="G43" s="435">
        <f>G44+G50+G51+G57+G63</f>
        <v>8354.9013100000011</v>
      </c>
      <c r="H43" s="435">
        <f>H44+H50+H51+H57+H63</f>
        <v>13137.5</v>
      </c>
      <c r="I43" s="440">
        <f t="shared" si="3"/>
        <v>5229.8878199999999</v>
      </c>
      <c r="J43" s="440">
        <f>J44+J50+J51+J57+J63</f>
        <v>4039.21009</v>
      </c>
      <c r="K43" s="440">
        <f>K44+K50+K51+K57+K63</f>
        <v>0</v>
      </c>
      <c r="L43" s="440">
        <f>L44+L50+L51+L57+L63</f>
        <v>1190.6777299999999</v>
      </c>
      <c r="M43" s="468"/>
      <c r="N43" s="469"/>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row>
    <row r="44" spans="1:69" s="475" customFormat="1" ht="122.25" customHeight="1" x14ac:dyDescent="0.25">
      <c r="A44" s="471" t="s">
        <v>562</v>
      </c>
      <c r="B44" s="472" t="s">
        <v>455</v>
      </c>
      <c r="C44" s="473" t="s">
        <v>59</v>
      </c>
      <c r="D44" s="473" t="s">
        <v>543</v>
      </c>
      <c r="E44" s="437">
        <f t="shared" si="0"/>
        <v>14609.7448</v>
      </c>
      <c r="F44" s="437">
        <f>SUM(F45:F49)</f>
        <v>830.95</v>
      </c>
      <c r="G44" s="437">
        <f>SUM(G45:G49)</f>
        <v>878.79480000000001</v>
      </c>
      <c r="H44" s="437">
        <f>SUM(H45:H49)</f>
        <v>12900</v>
      </c>
      <c r="I44" s="437">
        <f t="shared" si="3"/>
        <v>4803.2470199999998</v>
      </c>
      <c r="J44" s="437">
        <f>SUM(J45:J49)</f>
        <v>3986.8470200000002</v>
      </c>
      <c r="K44" s="437">
        <f>SUM(K45:K49)</f>
        <v>0</v>
      </c>
      <c r="L44" s="437">
        <f>SUM(L45:L49)</f>
        <v>816.4</v>
      </c>
      <c r="M44" s="474"/>
      <c r="N44" s="492"/>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row>
    <row r="45" spans="1:69" s="481" customFormat="1" ht="40.5" customHeight="1" x14ac:dyDescent="0.25">
      <c r="A45" s="476"/>
      <c r="B45" s="502" t="s">
        <v>627</v>
      </c>
      <c r="C45" s="477" t="s">
        <v>59</v>
      </c>
      <c r="D45" s="478" t="s">
        <v>543</v>
      </c>
      <c r="E45" s="93">
        <f t="shared" si="0"/>
        <v>1709.7447999999999</v>
      </c>
      <c r="F45" s="93">
        <v>830.95</v>
      </c>
      <c r="G45" s="93">
        <v>878.79480000000001</v>
      </c>
      <c r="H45" s="93">
        <v>0</v>
      </c>
      <c r="I45" s="93">
        <f t="shared" si="3"/>
        <v>3986.8470200000002</v>
      </c>
      <c r="J45" s="93">
        <f>3664.6903+322.15672</f>
        <v>3986.8470200000002</v>
      </c>
      <c r="K45" s="313">
        <v>0</v>
      </c>
      <c r="L45" s="93">
        <v>0</v>
      </c>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row>
    <row r="46" spans="1:69" s="463" customFormat="1" ht="42.75" customHeight="1" x14ac:dyDescent="0.25">
      <c r="A46" s="379"/>
      <c r="B46" s="502" t="s">
        <v>628</v>
      </c>
      <c r="C46" s="477" t="s">
        <v>59</v>
      </c>
      <c r="D46" s="478" t="s">
        <v>543</v>
      </c>
      <c r="E46" s="93">
        <f t="shared" si="0"/>
        <v>0</v>
      </c>
      <c r="F46" s="93">
        <v>0</v>
      </c>
      <c r="G46" s="93">
        <v>0</v>
      </c>
      <c r="H46" s="93">
        <v>0</v>
      </c>
      <c r="I46" s="93">
        <f t="shared" si="3"/>
        <v>0</v>
      </c>
      <c r="J46" s="93">
        <v>0</v>
      </c>
      <c r="K46" s="313">
        <v>0</v>
      </c>
      <c r="L46" s="93">
        <v>0</v>
      </c>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row>
    <row r="47" spans="1:69" s="463" customFormat="1" ht="29.25" customHeight="1" x14ac:dyDescent="0.25">
      <c r="A47" s="461"/>
      <c r="B47" s="502" t="s">
        <v>629</v>
      </c>
      <c r="C47" s="477" t="s">
        <v>59</v>
      </c>
      <c r="D47" s="478" t="s">
        <v>543</v>
      </c>
      <c r="E47" s="93">
        <f t="shared" si="0"/>
        <v>0</v>
      </c>
      <c r="F47" s="93">
        <v>0</v>
      </c>
      <c r="G47" s="93">
        <v>0</v>
      </c>
      <c r="H47" s="93">
        <v>0</v>
      </c>
      <c r="I47" s="93">
        <f t="shared" si="3"/>
        <v>0</v>
      </c>
      <c r="J47" s="93">
        <v>0</v>
      </c>
      <c r="K47" s="313">
        <v>0</v>
      </c>
      <c r="L47" s="93">
        <v>0</v>
      </c>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row>
    <row r="48" spans="1:69" s="463" customFormat="1" ht="80.25" customHeight="1" x14ac:dyDescent="0.25">
      <c r="A48" s="461"/>
      <c r="B48" s="502" t="s">
        <v>630</v>
      </c>
      <c r="C48" s="503" t="s">
        <v>560</v>
      </c>
      <c r="D48" s="478" t="s">
        <v>543</v>
      </c>
      <c r="E48" s="93">
        <f t="shared" si="0"/>
        <v>12900</v>
      </c>
      <c r="F48" s="93">
        <v>0</v>
      </c>
      <c r="G48" s="93">
        <v>0</v>
      </c>
      <c r="H48" s="93">
        <v>12900</v>
      </c>
      <c r="I48" s="93">
        <f t="shared" si="3"/>
        <v>816.4</v>
      </c>
      <c r="J48" s="93">
        <v>0</v>
      </c>
      <c r="K48" s="313">
        <v>0</v>
      </c>
      <c r="L48" s="93">
        <v>816.4</v>
      </c>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row>
    <row r="49" spans="1:69" s="463" customFormat="1" ht="33" customHeight="1" x14ac:dyDescent="0.25">
      <c r="A49" s="461"/>
      <c r="B49" s="502" t="s">
        <v>631</v>
      </c>
      <c r="C49" s="503" t="s">
        <v>62</v>
      </c>
      <c r="D49" s="478" t="s">
        <v>543</v>
      </c>
      <c r="E49" s="93">
        <f t="shared" si="0"/>
        <v>0</v>
      </c>
      <c r="F49" s="93">
        <v>0</v>
      </c>
      <c r="G49" s="93">
        <v>0</v>
      </c>
      <c r="H49" s="93">
        <v>0</v>
      </c>
      <c r="I49" s="93">
        <f t="shared" si="3"/>
        <v>0</v>
      </c>
      <c r="J49" s="93">
        <v>0</v>
      </c>
      <c r="K49" s="313">
        <v>0</v>
      </c>
      <c r="L49" s="93">
        <v>0</v>
      </c>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row>
    <row r="50" spans="1:69" s="475" customFormat="1" ht="47.25" x14ac:dyDescent="0.25">
      <c r="A50" s="471" t="s">
        <v>329</v>
      </c>
      <c r="B50" s="493" t="s">
        <v>478</v>
      </c>
      <c r="C50" s="473" t="s">
        <v>62</v>
      </c>
      <c r="D50" s="484" t="s">
        <v>543</v>
      </c>
      <c r="E50" s="437">
        <f t="shared" si="0"/>
        <v>1046.93</v>
      </c>
      <c r="F50" s="437">
        <v>0</v>
      </c>
      <c r="G50" s="441">
        <v>1046.93</v>
      </c>
      <c r="H50" s="437">
        <v>0</v>
      </c>
      <c r="I50" s="437">
        <f t="shared" si="3"/>
        <v>217.70162999999999</v>
      </c>
      <c r="J50" s="437">
        <v>0</v>
      </c>
      <c r="K50" s="439">
        <v>0</v>
      </c>
      <c r="L50" s="437">
        <f>217.70163</f>
        <v>217.70162999999999</v>
      </c>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row>
    <row r="51" spans="1:69" s="475" customFormat="1" ht="98.25" customHeight="1" x14ac:dyDescent="0.25">
      <c r="A51" s="471" t="s">
        <v>333</v>
      </c>
      <c r="B51" s="472" t="s">
        <v>563</v>
      </c>
      <c r="C51" s="473" t="s">
        <v>62</v>
      </c>
      <c r="D51" s="484" t="s">
        <v>543</v>
      </c>
      <c r="E51" s="437">
        <f t="shared" ref="E51:E57" si="4">SUM(F51:H51)</f>
        <v>1980.00251</v>
      </c>
      <c r="F51" s="437">
        <f>SUM(F52:F56)</f>
        <v>0</v>
      </c>
      <c r="G51" s="437">
        <f>G52+G53+G54+G55+G56</f>
        <v>1980.00251</v>
      </c>
      <c r="H51" s="437">
        <f>SUM(H52:H56)</f>
        <v>0</v>
      </c>
      <c r="I51" s="437">
        <f t="shared" si="3"/>
        <v>191.21016</v>
      </c>
      <c r="J51" s="437">
        <f>SUM(J52:J56)</f>
        <v>52.36307</v>
      </c>
      <c r="K51" s="437">
        <f>SUM(K52:K56)</f>
        <v>0</v>
      </c>
      <c r="L51" s="437">
        <f>SUM(L52:L56)</f>
        <v>138.84709000000001</v>
      </c>
      <c r="M51" s="50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row>
    <row r="52" spans="1:69" s="463" customFormat="1" x14ac:dyDescent="0.25">
      <c r="A52" s="461"/>
      <c r="B52" s="505" t="s">
        <v>632</v>
      </c>
      <c r="C52" s="503" t="s">
        <v>62</v>
      </c>
      <c r="D52" s="478" t="s">
        <v>543</v>
      </c>
      <c r="E52" s="93">
        <f t="shared" si="4"/>
        <v>44.554000000000002</v>
      </c>
      <c r="F52" s="93">
        <v>0</v>
      </c>
      <c r="G52" s="312">
        <v>44.554000000000002</v>
      </c>
      <c r="H52" s="93">
        <v>0</v>
      </c>
      <c r="I52" s="93">
        <f t="shared" si="3"/>
        <v>152.50479000000001</v>
      </c>
      <c r="J52" s="93">
        <v>52.36307</v>
      </c>
      <c r="K52" s="313">
        <v>0</v>
      </c>
      <c r="L52" s="93">
        <v>100.14172000000001</v>
      </c>
      <c r="M52" s="506"/>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row>
    <row r="53" spans="1:69" s="463" customFormat="1" x14ac:dyDescent="0.25">
      <c r="A53" s="461"/>
      <c r="B53" s="505" t="s">
        <v>633</v>
      </c>
      <c r="C53" s="503" t="s">
        <v>62</v>
      </c>
      <c r="D53" s="478" t="s">
        <v>543</v>
      </c>
      <c r="E53" s="93">
        <f t="shared" si="4"/>
        <v>22.925000000000001</v>
      </c>
      <c r="F53" s="93">
        <v>0</v>
      </c>
      <c r="G53" s="312">
        <v>22.925000000000001</v>
      </c>
      <c r="H53" s="93">
        <v>0</v>
      </c>
      <c r="I53" s="93">
        <f t="shared" si="3"/>
        <v>20.35737</v>
      </c>
      <c r="J53" s="93">
        <v>0</v>
      </c>
      <c r="K53" s="313">
        <v>0</v>
      </c>
      <c r="L53" s="93">
        <v>20.35737</v>
      </c>
      <c r="M53" s="506"/>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row>
    <row r="54" spans="1:69" s="463" customFormat="1" x14ac:dyDescent="0.25">
      <c r="A54" s="461"/>
      <c r="B54" s="505" t="s">
        <v>634</v>
      </c>
      <c r="C54" s="503" t="s">
        <v>62</v>
      </c>
      <c r="D54" s="478" t="s">
        <v>543</v>
      </c>
      <c r="E54" s="93">
        <f t="shared" si="4"/>
        <v>380.48101000000003</v>
      </c>
      <c r="F54" s="93">
        <v>0</v>
      </c>
      <c r="G54" s="400">
        <v>380.48101000000003</v>
      </c>
      <c r="H54" s="93">
        <v>0</v>
      </c>
      <c r="I54" s="93">
        <f t="shared" si="3"/>
        <v>0</v>
      </c>
      <c r="J54" s="93">
        <v>0</v>
      </c>
      <c r="K54" s="313">
        <v>0</v>
      </c>
      <c r="L54" s="93">
        <v>0</v>
      </c>
      <c r="M54" s="506"/>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row>
    <row r="55" spans="1:69" s="481" customFormat="1" ht="24" x14ac:dyDescent="0.25">
      <c r="A55" s="476"/>
      <c r="B55" s="505" t="s">
        <v>635</v>
      </c>
      <c r="C55" s="503" t="s">
        <v>62</v>
      </c>
      <c r="D55" s="478" t="s">
        <v>543</v>
      </c>
      <c r="E55" s="93">
        <f t="shared" si="4"/>
        <v>1301.6424999999999</v>
      </c>
      <c r="F55" s="93">
        <v>0</v>
      </c>
      <c r="G55" s="400">
        <v>1301.6424999999999</v>
      </c>
      <c r="H55" s="93">
        <v>0</v>
      </c>
      <c r="I55" s="93">
        <f t="shared" si="3"/>
        <v>0</v>
      </c>
      <c r="J55" s="93">
        <v>0</v>
      </c>
      <c r="K55" s="313">
        <v>0</v>
      </c>
      <c r="L55" s="93">
        <v>0</v>
      </c>
      <c r="M55" s="506"/>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480"/>
      <c r="BO55" s="480"/>
      <c r="BP55" s="480"/>
      <c r="BQ55" s="480"/>
    </row>
    <row r="56" spans="1:69" s="481" customFormat="1" ht="24" x14ac:dyDescent="0.25">
      <c r="A56" s="476"/>
      <c r="B56" s="505" t="s">
        <v>636</v>
      </c>
      <c r="C56" s="503" t="s">
        <v>62</v>
      </c>
      <c r="D56" s="478" t="s">
        <v>543</v>
      </c>
      <c r="E56" s="93">
        <f t="shared" si="4"/>
        <v>230.4</v>
      </c>
      <c r="F56" s="93">
        <v>0</v>
      </c>
      <c r="G56" s="400">
        <v>230.4</v>
      </c>
      <c r="H56" s="93">
        <v>0</v>
      </c>
      <c r="I56" s="93">
        <f t="shared" si="3"/>
        <v>18.347999999999999</v>
      </c>
      <c r="J56" s="93">
        <v>0</v>
      </c>
      <c r="K56" s="313">
        <v>0</v>
      </c>
      <c r="L56" s="93">
        <f>3.888+14.46</f>
        <v>18.347999999999999</v>
      </c>
      <c r="M56" s="506"/>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row>
    <row r="57" spans="1:69" s="475" customFormat="1" ht="48" customHeight="1" x14ac:dyDescent="0.25">
      <c r="A57" s="471" t="s">
        <v>339</v>
      </c>
      <c r="B57" s="472" t="s">
        <v>604</v>
      </c>
      <c r="C57" s="473" t="s">
        <v>62</v>
      </c>
      <c r="D57" s="473" t="s">
        <v>543</v>
      </c>
      <c r="E57" s="437">
        <f t="shared" si="4"/>
        <v>4449.174</v>
      </c>
      <c r="F57" s="437">
        <f>SUM(F58:F62)</f>
        <v>0</v>
      </c>
      <c r="G57" s="437">
        <f>SUM(G58:G62)</f>
        <v>4449.174</v>
      </c>
      <c r="H57" s="437">
        <f>SUM(H58:H62)</f>
        <v>0</v>
      </c>
      <c r="I57" s="437">
        <f t="shared" si="3"/>
        <v>17.729010000000002</v>
      </c>
      <c r="J57" s="437">
        <f>SUM(J58:J62)</f>
        <v>0</v>
      </c>
      <c r="K57" s="437">
        <f>SUM(K58:K62)</f>
        <v>0</v>
      </c>
      <c r="L57" s="437">
        <f>SUM(L58:L62)</f>
        <v>17.729010000000002</v>
      </c>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row>
    <row r="58" spans="1:69" s="481" customFormat="1" ht="16.5" customHeight="1" x14ac:dyDescent="0.25">
      <c r="A58" s="476"/>
      <c r="B58" s="482" t="s">
        <v>637</v>
      </c>
      <c r="C58" s="503" t="s">
        <v>62</v>
      </c>
      <c r="D58" s="478" t="s">
        <v>543</v>
      </c>
      <c r="E58" s="312">
        <f t="shared" si="0"/>
        <v>360</v>
      </c>
      <c r="F58" s="312">
        <v>0</v>
      </c>
      <c r="G58" s="312">
        <v>360</v>
      </c>
      <c r="H58" s="312">
        <v>0</v>
      </c>
      <c r="I58" s="93">
        <f t="shared" si="3"/>
        <v>0</v>
      </c>
      <c r="J58" s="93">
        <v>0</v>
      </c>
      <c r="K58" s="313">
        <v>0</v>
      </c>
      <c r="L58" s="93">
        <v>0</v>
      </c>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row>
    <row r="59" spans="1:69" s="481" customFormat="1" ht="12.75" x14ac:dyDescent="0.25">
      <c r="A59" s="476"/>
      <c r="B59" s="502" t="s">
        <v>638</v>
      </c>
      <c r="C59" s="503" t="s">
        <v>62</v>
      </c>
      <c r="D59" s="478" t="s">
        <v>543</v>
      </c>
      <c r="E59" s="312">
        <f t="shared" si="0"/>
        <v>648</v>
      </c>
      <c r="F59" s="312">
        <v>0</v>
      </c>
      <c r="G59" s="312">
        <v>648</v>
      </c>
      <c r="H59" s="312">
        <v>0</v>
      </c>
      <c r="I59" s="93">
        <f t="shared" si="3"/>
        <v>0</v>
      </c>
      <c r="J59" s="93">
        <v>0</v>
      </c>
      <c r="K59" s="313">
        <v>0</v>
      </c>
      <c r="L59" s="93">
        <v>0</v>
      </c>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row>
    <row r="60" spans="1:69" s="481" customFormat="1" ht="12.75" x14ac:dyDescent="0.25">
      <c r="A60" s="476"/>
      <c r="B60" s="502" t="s">
        <v>639</v>
      </c>
      <c r="C60" s="503" t="s">
        <v>62</v>
      </c>
      <c r="D60" s="478" t="s">
        <v>543</v>
      </c>
      <c r="E60" s="312">
        <f t="shared" si="0"/>
        <v>60.75</v>
      </c>
      <c r="F60" s="312">
        <v>0</v>
      </c>
      <c r="G60" s="400">
        <v>60.75</v>
      </c>
      <c r="H60" s="312">
        <v>0</v>
      </c>
      <c r="I60" s="93">
        <f t="shared" si="3"/>
        <v>0</v>
      </c>
      <c r="J60" s="93">
        <v>0</v>
      </c>
      <c r="K60" s="313">
        <v>0</v>
      </c>
      <c r="L60" s="93">
        <v>0</v>
      </c>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row>
    <row r="61" spans="1:69" s="463" customFormat="1" x14ac:dyDescent="0.25">
      <c r="A61" s="461"/>
      <c r="B61" s="502" t="s">
        <v>640</v>
      </c>
      <c r="C61" s="503" t="s">
        <v>62</v>
      </c>
      <c r="D61" s="478" t="s">
        <v>543</v>
      </c>
      <c r="E61" s="312">
        <f t="shared" si="0"/>
        <v>72</v>
      </c>
      <c r="F61" s="312">
        <v>0</v>
      </c>
      <c r="G61" s="312">
        <v>72</v>
      </c>
      <c r="H61" s="312">
        <v>0</v>
      </c>
      <c r="I61" s="93">
        <f t="shared" si="3"/>
        <v>0</v>
      </c>
      <c r="J61" s="93">
        <v>0</v>
      </c>
      <c r="K61" s="313">
        <v>0</v>
      </c>
      <c r="L61" s="93">
        <v>0</v>
      </c>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62"/>
      <c r="BO61" s="462"/>
      <c r="BP61" s="462"/>
      <c r="BQ61" s="462"/>
    </row>
    <row r="62" spans="1:69" s="463" customFormat="1" x14ac:dyDescent="0.25">
      <c r="A62" s="461"/>
      <c r="B62" s="502" t="s">
        <v>641</v>
      </c>
      <c r="C62" s="503" t="s">
        <v>62</v>
      </c>
      <c r="D62" s="478" t="s">
        <v>543</v>
      </c>
      <c r="E62" s="312">
        <f t="shared" si="0"/>
        <v>3308.424</v>
      </c>
      <c r="F62" s="312">
        <v>0</v>
      </c>
      <c r="G62" s="400">
        <v>3308.424</v>
      </c>
      <c r="H62" s="312">
        <v>0</v>
      </c>
      <c r="I62" s="93">
        <f t="shared" si="3"/>
        <v>17.729010000000002</v>
      </c>
      <c r="J62" s="93">
        <v>0</v>
      </c>
      <c r="K62" s="313">
        <v>0</v>
      </c>
      <c r="L62" s="93">
        <f>3.47485+2.65815+1.32776+10.26825</f>
        <v>17.729010000000002</v>
      </c>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2"/>
      <c r="BM62" s="462"/>
      <c r="BN62" s="462"/>
      <c r="BO62" s="462"/>
      <c r="BP62" s="462"/>
      <c r="BQ62" s="462"/>
    </row>
    <row r="63" spans="1:69" s="475" customFormat="1" ht="114.75" customHeight="1" x14ac:dyDescent="0.25">
      <c r="A63" s="471" t="s">
        <v>343</v>
      </c>
      <c r="B63" s="472" t="s">
        <v>495</v>
      </c>
      <c r="C63" s="473" t="s">
        <v>62</v>
      </c>
      <c r="D63" s="473" t="s">
        <v>543</v>
      </c>
      <c r="E63" s="437">
        <f t="shared" si="0"/>
        <v>237.5</v>
      </c>
      <c r="F63" s="437">
        <v>0</v>
      </c>
      <c r="G63" s="437">
        <v>0</v>
      </c>
      <c r="H63" s="441">
        <v>237.5</v>
      </c>
      <c r="I63" s="437">
        <f t="shared" si="3"/>
        <v>0</v>
      </c>
      <c r="J63" s="437">
        <v>0</v>
      </c>
      <c r="K63" s="439">
        <v>0</v>
      </c>
      <c r="L63" s="437">
        <v>0</v>
      </c>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row>
    <row r="64" spans="1:69" s="470" customFormat="1" ht="36.75" customHeight="1" x14ac:dyDescent="0.25">
      <c r="A64" s="464" t="s">
        <v>132</v>
      </c>
      <c r="B64" s="465" t="s">
        <v>131</v>
      </c>
      <c r="C64" s="465"/>
      <c r="D64" s="465"/>
      <c r="E64" s="435">
        <f t="shared" si="0"/>
        <v>196694.41999999998</v>
      </c>
      <c r="F64" s="435">
        <f>SUM(F65+F69+F72+F73)</f>
        <v>66489.42</v>
      </c>
      <c r="G64" s="435">
        <f>SUM(G65+G69+G72+G73)</f>
        <v>1000</v>
      </c>
      <c r="H64" s="435">
        <f>SUM(H65+H69+H72+H73)</f>
        <v>129205</v>
      </c>
      <c r="I64" s="435">
        <f t="shared" si="3"/>
        <v>16459.426650000001</v>
      </c>
      <c r="J64" s="435">
        <f>J65+J69+J72+J73</f>
        <v>10914.903689999999</v>
      </c>
      <c r="K64" s="435">
        <f>K65+K69+K72+K73</f>
        <v>0</v>
      </c>
      <c r="L64" s="435">
        <f>L65+L69+L72+L73</f>
        <v>5544.5229600000002</v>
      </c>
      <c r="M64" s="468"/>
      <c r="N64" s="469"/>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row>
    <row r="65" spans="1:69" s="475" customFormat="1" ht="50.25" customHeight="1" x14ac:dyDescent="0.25">
      <c r="A65" s="471" t="s">
        <v>570</v>
      </c>
      <c r="B65" s="472" t="s">
        <v>571</v>
      </c>
      <c r="C65" s="473" t="s">
        <v>62</v>
      </c>
      <c r="D65" s="473" t="s">
        <v>543</v>
      </c>
      <c r="E65" s="437">
        <f t="shared" si="0"/>
        <v>188433.41999999998</v>
      </c>
      <c r="F65" s="437">
        <f>SUM(F66:F68)</f>
        <v>66489.42</v>
      </c>
      <c r="G65" s="437">
        <f>SUM(G66:G68)</f>
        <v>0</v>
      </c>
      <c r="H65" s="437">
        <f>SUM(H66:H68)</f>
        <v>121944</v>
      </c>
      <c r="I65" s="437">
        <f t="shared" si="3"/>
        <v>15031.682649999999</v>
      </c>
      <c r="J65" s="437">
        <f>SUM(J66:J68)</f>
        <v>10914.903689999999</v>
      </c>
      <c r="K65" s="437">
        <f>SUM(K66:K68)</f>
        <v>0</v>
      </c>
      <c r="L65" s="437">
        <f>SUM(L66:L68)</f>
        <v>4116.7789600000006</v>
      </c>
      <c r="M65" s="474"/>
      <c r="N65" s="492"/>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row>
    <row r="66" spans="1:69" s="510" customFormat="1" ht="55.5" customHeight="1" x14ac:dyDescent="0.25">
      <c r="A66" s="507"/>
      <c r="B66" s="502" t="s">
        <v>642</v>
      </c>
      <c r="C66" s="503" t="s">
        <v>62</v>
      </c>
      <c r="D66" s="503" t="s">
        <v>543</v>
      </c>
      <c r="E66" s="311">
        <f t="shared" si="0"/>
        <v>188433.41999999998</v>
      </c>
      <c r="F66" s="311">
        <v>66489.42</v>
      </c>
      <c r="G66" s="401">
        <v>0</v>
      </c>
      <c r="H66" s="311">
        <v>121944</v>
      </c>
      <c r="I66" s="311">
        <f t="shared" si="3"/>
        <v>15031.682649999999</v>
      </c>
      <c r="J66" s="311">
        <f>10914.90369</f>
        <v>10914.903689999999</v>
      </c>
      <c r="K66" s="314">
        <v>0</v>
      </c>
      <c r="L66" s="311">
        <f>2119.33659+1996.09237+1.35</f>
        <v>4116.7789600000006</v>
      </c>
      <c r="M66" s="508"/>
      <c r="N66" s="509"/>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row>
    <row r="67" spans="1:69" s="510" customFormat="1" ht="39" customHeight="1" x14ac:dyDescent="0.25">
      <c r="A67" s="507"/>
      <c r="B67" s="502" t="s">
        <v>643</v>
      </c>
      <c r="C67" s="503" t="s">
        <v>62</v>
      </c>
      <c r="D67" s="503" t="s">
        <v>543</v>
      </c>
      <c r="E67" s="311">
        <f t="shared" si="0"/>
        <v>0</v>
      </c>
      <c r="F67" s="311">
        <v>0</v>
      </c>
      <c r="G67" s="311">
        <v>0</v>
      </c>
      <c r="H67" s="311">
        <v>0</v>
      </c>
      <c r="I67" s="311">
        <f t="shared" si="3"/>
        <v>0</v>
      </c>
      <c r="J67" s="311">
        <v>0</v>
      </c>
      <c r="K67" s="314">
        <v>0</v>
      </c>
      <c r="L67" s="311">
        <v>0</v>
      </c>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row>
    <row r="68" spans="1:69" s="510" customFormat="1" ht="28.5" customHeight="1" x14ac:dyDescent="0.25">
      <c r="A68" s="507"/>
      <c r="B68" s="502" t="s">
        <v>644</v>
      </c>
      <c r="C68" s="503" t="s">
        <v>62</v>
      </c>
      <c r="D68" s="503" t="s">
        <v>543</v>
      </c>
      <c r="E68" s="311">
        <f t="shared" si="0"/>
        <v>0</v>
      </c>
      <c r="F68" s="311">
        <v>0</v>
      </c>
      <c r="G68" s="311">
        <v>0</v>
      </c>
      <c r="H68" s="311">
        <v>0</v>
      </c>
      <c r="I68" s="311">
        <f t="shared" si="3"/>
        <v>0</v>
      </c>
      <c r="J68" s="311">
        <v>0</v>
      </c>
      <c r="K68" s="314">
        <v>0</v>
      </c>
      <c r="L68" s="311">
        <v>0</v>
      </c>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row>
    <row r="69" spans="1:69" s="475" customFormat="1" ht="52.5" customHeight="1" x14ac:dyDescent="0.25">
      <c r="A69" s="471" t="s">
        <v>586</v>
      </c>
      <c r="B69" s="472" t="s">
        <v>587</v>
      </c>
      <c r="C69" s="473" t="s">
        <v>62</v>
      </c>
      <c r="D69" s="473" t="s">
        <v>550</v>
      </c>
      <c r="E69" s="437">
        <f>SUM(F69:H69)</f>
        <v>1000</v>
      </c>
      <c r="F69" s="437">
        <f>SUM(F70:F71)</f>
        <v>0</v>
      </c>
      <c r="G69" s="437">
        <f>SUM(G70:G71)</f>
        <v>1000</v>
      </c>
      <c r="H69" s="437">
        <f>SUM(H70:H71)</f>
        <v>0</v>
      </c>
      <c r="I69" s="437">
        <f t="shared" si="3"/>
        <v>0</v>
      </c>
      <c r="J69" s="437">
        <f>SUM(J70:J71)</f>
        <v>0</v>
      </c>
      <c r="K69" s="437">
        <f>SUM(K70:K71)</f>
        <v>0</v>
      </c>
      <c r="L69" s="437">
        <f>SUM(L70:L71)</f>
        <v>0</v>
      </c>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row>
    <row r="70" spans="1:69" s="510" customFormat="1" ht="20.25" customHeight="1" x14ac:dyDescent="0.25">
      <c r="A70" s="507"/>
      <c r="B70" s="502" t="s">
        <v>645</v>
      </c>
      <c r="C70" s="503" t="s">
        <v>62</v>
      </c>
      <c r="D70" s="503" t="s">
        <v>550</v>
      </c>
      <c r="E70" s="311">
        <f>SUM(F70:H70)</f>
        <v>700</v>
      </c>
      <c r="F70" s="311">
        <v>0</v>
      </c>
      <c r="G70" s="311">
        <v>700</v>
      </c>
      <c r="H70" s="311">
        <v>0</v>
      </c>
      <c r="I70" s="311">
        <f t="shared" si="3"/>
        <v>0</v>
      </c>
      <c r="J70" s="311">
        <v>0</v>
      </c>
      <c r="K70" s="314">
        <v>0</v>
      </c>
      <c r="L70" s="311">
        <v>0</v>
      </c>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row>
    <row r="71" spans="1:69" s="510" customFormat="1" ht="29.25" customHeight="1" x14ac:dyDescent="0.25">
      <c r="A71" s="507"/>
      <c r="B71" s="502" t="s">
        <v>646</v>
      </c>
      <c r="C71" s="503" t="s">
        <v>62</v>
      </c>
      <c r="D71" s="503" t="s">
        <v>550</v>
      </c>
      <c r="E71" s="311">
        <f>SUM(F71:H71)</f>
        <v>300</v>
      </c>
      <c r="F71" s="311">
        <v>0</v>
      </c>
      <c r="G71" s="311">
        <v>300</v>
      </c>
      <c r="H71" s="311">
        <v>0</v>
      </c>
      <c r="I71" s="311">
        <f t="shared" si="3"/>
        <v>0</v>
      </c>
      <c r="J71" s="311">
        <v>0</v>
      </c>
      <c r="K71" s="314">
        <v>0</v>
      </c>
      <c r="L71" s="311">
        <v>0</v>
      </c>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row>
    <row r="72" spans="1:69" s="475" customFormat="1" ht="115.5" customHeight="1" x14ac:dyDescent="0.25">
      <c r="A72" s="471" t="s">
        <v>367</v>
      </c>
      <c r="B72" s="472" t="s">
        <v>572</v>
      </c>
      <c r="C72" s="473" t="s">
        <v>62</v>
      </c>
      <c r="D72" s="473" t="s">
        <v>543</v>
      </c>
      <c r="E72" s="437">
        <f t="shared" si="0"/>
        <v>420</v>
      </c>
      <c r="F72" s="437">
        <v>0</v>
      </c>
      <c r="G72" s="437">
        <v>0</v>
      </c>
      <c r="H72" s="437">
        <v>420</v>
      </c>
      <c r="I72" s="437">
        <f t="shared" si="3"/>
        <v>0</v>
      </c>
      <c r="J72" s="437">
        <v>0</v>
      </c>
      <c r="K72" s="439">
        <v>0</v>
      </c>
      <c r="L72" s="437">
        <v>0</v>
      </c>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row>
    <row r="73" spans="1:69" s="475" customFormat="1" ht="118.5" customHeight="1" x14ac:dyDescent="0.25">
      <c r="A73" s="471" t="s">
        <v>514</v>
      </c>
      <c r="B73" s="472" t="s">
        <v>573</v>
      </c>
      <c r="C73" s="473" t="s">
        <v>599</v>
      </c>
      <c r="D73" s="473" t="s">
        <v>543</v>
      </c>
      <c r="E73" s="437">
        <f t="shared" si="0"/>
        <v>6841</v>
      </c>
      <c r="F73" s="437">
        <v>0</v>
      </c>
      <c r="G73" s="437">
        <v>0</v>
      </c>
      <c r="H73" s="437">
        <v>6841</v>
      </c>
      <c r="I73" s="437">
        <f t="shared" si="3"/>
        <v>1427.7439999999999</v>
      </c>
      <c r="J73" s="437">
        <v>0</v>
      </c>
      <c r="K73" s="439">
        <v>0</v>
      </c>
      <c r="L73" s="437">
        <v>1427.7439999999999</v>
      </c>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row>
    <row r="74" spans="1:69" s="470" customFormat="1" ht="68.25" customHeight="1" x14ac:dyDescent="0.25">
      <c r="A74" s="464" t="s">
        <v>379</v>
      </c>
      <c r="B74" s="465" t="s">
        <v>574</v>
      </c>
      <c r="C74" s="466"/>
      <c r="D74" s="466"/>
      <c r="E74" s="435">
        <f>SUM(F74:H74)</f>
        <v>59240.05</v>
      </c>
      <c r="F74" s="435">
        <f>F75+F81+F82</f>
        <v>29969.599999999999</v>
      </c>
      <c r="G74" s="435">
        <f>G75+G81+G82</f>
        <v>28982.45</v>
      </c>
      <c r="H74" s="435">
        <f>H75+H81+H82</f>
        <v>288</v>
      </c>
      <c r="I74" s="435">
        <f t="shared" ref="I74:I82" si="5">SUM(J74:L74)</f>
        <v>2133.0207100000002</v>
      </c>
      <c r="J74" s="435">
        <f>J75+J81+J82</f>
        <v>762.22456</v>
      </c>
      <c r="K74" s="435">
        <f>K75+K81+K82</f>
        <v>0</v>
      </c>
      <c r="L74" s="435">
        <f>L75+L81+L82</f>
        <v>1370.7961500000001</v>
      </c>
      <c r="M74" s="468"/>
      <c r="N74" s="469"/>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row>
    <row r="75" spans="1:69" s="475" customFormat="1" ht="57.75" customHeight="1" x14ac:dyDescent="0.25">
      <c r="A75" s="471" t="s">
        <v>380</v>
      </c>
      <c r="B75" s="472" t="s">
        <v>598</v>
      </c>
      <c r="C75" s="473" t="s">
        <v>62</v>
      </c>
      <c r="D75" s="473" t="s">
        <v>543</v>
      </c>
      <c r="E75" s="437">
        <f t="shared" si="0"/>
        <v>58952.05</v>
      </c>
      <c r="F75" s="438">
        <f>SUM(F76:F80)</f>
        <v>29969.599999999999</v>
      </c>
      <c r="G75" s="438">
        <f>SUM(G76:G80)</f>
        <v>28982.45</v>
      </c>
      <c r="H75" s="438">
        <f>SUM(H76:H80)</f>
        <v>0</v>
      </c>
      <c r="I75" s="437">
        <f t="shared" si="5"/>
        <v>949.97671000000003</v>
      </c>
      <c r="J75" s="437">
        <f>SUM(J76:J80)</f>
        <v>762.22456</v>
      </c>
      <c r="K75" s="437">
        <f>SUM(K76:K80)</f>
        <v>0</v>
      </c>
      <c r="L75" s="437">
        <f>SUM(L76:L80)</f>
        <v>187.75215000000003</v>
      </c>
      <c r="M75" s="474"/>
      <c r="N75" s="492"/>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row>
    <row r="76" spans="1:69" s="481" customFormat="1" ht="29.25" customHeight="1" x14ac:dyDescent="0.25">
      <c r="A76" s="476"/>
      <c r="B76" s="482" t="s">
        <v>647</v>
      </c>
      <c r="C76" s="478" t="s">
        <v>62</v>
      </c>
      <c r="D76" s="478" t="s">
        <v>543</v>
      </c>
      <c r="E76" s="93">
        <f t="shared" si="0"/>
        <v>46871.24</v>
      </c>
      <c r="F76" s="93">
        <v>29969.599999999999</v>
      </c>
      <c r="G76" s="313">
        <v>16901.64</v>
      </c>
      <c r="H76" s="93">
        <v>0</v>
      </c>
      <c r="I76" s="93">
        <f t="shared" si="5"/>
        <v>80.91019</v>
      </c>
      <c r="J76" s="93">
        <v>0</v>
      </c>
      <c r="K76" s="313">
        <v>0</v>
      </c>
      <c r="L76" s="93">
        <f>80.91019</f>
        <v>80.91019</v>
      </c>
      <c r="M76" s="480"/>
      <c r="N76" s="498"/>
      <c r="O76" s="511"/>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c r="BN76" s="480"/>
      <c r="BO76" s="480"/>
      <c r="BP76" s="480"/>
      <c r="BQ76" s="480"/>
    </row>
    <row r="77" spans="1:69" s="481" customFormat="1" ht="19.5" customHeight="1" x14ac:dyDescent="0.25">
      <c r="A77" s="476"/>
      <c r="B77" s="482" t="s">
        <v>648</v>
      </c>
      <c r="C77" s="478" t="s">
        <v>62</v>
      </c>
      <c r="D77" s="478" t="s">
        <v>543</v>
      </c>
      <c r="E77" s="93">
        <f t="shared" si="0"/>
        <v>9453.86</v>
      </c>
      <c r="F77" s="93">
        <v>0</v>
      </c>
      <c r="G77" s="313">
        <v>9453.86</v>
      </c>
      <c r="H77" s="93">
        <v>0</v>
      </c>
      <c r="I77" s="93">
        <f t="shared" si="5"/>
        <v>762.22456</v>
      </c>
      <c r="J77" s="93">
        <v>762.22456</v>
      </c>
      <c r="K77" s="313">
        <v>0</v>
      </c>
      <c r="L77" s="93">
        <v>0</v>
      </c>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0"/>
      <c r="BQ77" s="480"/>
    </row>
    <row r="78" spans="1:69" s="481" customFormat="1" ht="18.75" customHeight="1" x14ac:dyDescent="0.25">
      <c r="A78" s="476"/>
      <c r="B78" s="482" t="s">
        <v>649</v>
      </c>
      <c r="C78" s="478" t="s">
        <v>62</v>
      </c>
      <c r="D78" s="478" t="s">
        <v>543</v>
      </c>
      <c r="E78" s="93">
        <f t="shared" si="0"/>
        <v>591.92999999999995</v>
      </c>
      <c r="F78" s="93">
        <v>0</v>
      </c>
      <c r="G78" s="313">
        <v>591.92999999999995</v>
      </c>
      <c r="H78" s="93">
        <v>0</v>
      </c>
      <c r="I78" s="93">
        <f t="shared" si="5"/>
        <v>0</v>
      </c>
      <c r="J78" s="93">
        <v>0</v>
      </c>
      <c r="K78" s="313">
        <v>0</v>
      </c>
      <c r="L78" s="93">
        <v>0</v>
      </c>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row>
    <row r="79" spans="1:69" s="481" customFormat="1" ht="21" customHeight="1" x14ac:dyDescent="0.25">
      <c r="A79" s="476"/>
      <c r="B79" s="482" t="s">
        <v>650</v>
      </c>
      <c r="C79" s="478" t="s">
        <v>62</v>
      </c>
      <c r="D79" s="478" t="s">
        <v>543</v>
      </c>
      <c r="E79" s="93">
        <f t="shared" si="0"/>
        <v>1415.64</v>
      </c>
      <c r="F79" s="93">
        <v>0</v>
      </c>
      <c r="G79" s="313">
        <v>1415.64</v>
      </c>
      <c r="H79" s="93">
        <v>0</v>
      </c>
      <c r="I79" s="93">
        <f t="shared" si="5"/>
        <v>106.84196000000001</v>
      </c>
      <c r="J79" s="93">
        <v>0</v>
      </c>
      <c r="K79" s="313">
        <v>0</v>
      </c>
      <c r="L79" s="93">
        <f>65.98797+7.44611+3.98873+29.41915</f>
        <v>106.84196000000001</v>
      </c>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row>
    <row r="80" spans="1:69" s="481" customFormat="1" ht="34.5" customHeight="1" x14ac:dyDescent="0.25">
      <c r="A80" s="476"/>
      <c r="B80" s="482" t="s">
        <v>651</v>
      </c>
      <c r="C80" s="478" t="s">
        <v>62</v>
      </c>
      <c r="D80" s="478" t="s">
        <v>543</v>
      </c>
      <c r="E80" s="93">
        <f t="shared" si="0"/>
        <v>619.38</v>
      </c>
      <c r="F80" s="93">
        <v>0</v>
      </c>
      <c r="G80" s="313">
        <v>619.38</v>
      </c>
      <c r="H80" s="93">
        <v>0</v>
      </c>
      <c r="I80" s="93">
        <f t="shared" si="5"/>
        <v>0</v>
      </c>
      <c r="J80" s="93">
        <v>0</v>
      </c>
      <c r="K80" s="313">
        <v>0</v>
      </c>
      <c r="L80" s="93">
        <v>0</v>
      </c>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row>
    <row r="81" spans="1:69" s="475" customFormat="1" ht="54" customHeight="1" x14ac:dyDescent="0.25">
      <c r="A81" s="471" t="s">
        <v>576</v>
      </c>
      <c r="B81" s="472" t="s">
        <v>577</v>
      </c>
      <c r="C81" s="473" t="s">
        <v>575</v>
      </c>
      <c r="D81" s="473" t="s">
        <v>543</v>
      </c>
      <c r="E81" s="437">
        <f>SUM(F81:H81)</f>
        <v>0</v>
      </c>
      <c r="F81" s="437">
        <v>0</v>
      </c>
      <c r="G81" s="437">
        <v>0</v>
      </c>
      <c r="H81" s="438">
        <v>0</v>
      </c>
      <c r="I81" s="437">
        <f t="shared" si="5"/>
        <v>1183.0440000000001</v>
      </c>
      <c r="J81" s="437">
        <v>0</v>
      </c>
      <c r="K81" s="439">
        <v>0</v>
      </c>
      <c r="L81" s="437">
        <v>1183.0440000000001</v>
      </c>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row>
    <row r="82" spans="1:69" s="475" customFormat="1" ht="99.75" customHeight="1" x14ac:dyDescent="0.25">
      <c r="A82" s="471" t="s">
        <v>384</v>
      </c>
      <c r="B82" s="472" t="s">
        <v>578</v>
      </c>
      <c r="C82" s="473" t="s">
        <v>62</v>
      </c>
      <c r="D82" s="473" t="s">
        <v>543</v>
      </c>
      <c r="E82" s="437">
        <f>SUM(F82:H82)</f>
        <v>288</v>
      </c>
      <c r="F82" s="437">
        <v>0</v>
      </c>
      <c r="G82" s="437">
        <v>0</v>
      </c>
      <c r="H82" s="438">
        <v>288</v>
      </c>
      <c r="I82" s="437">
        <f t="shared" si="5"/>
        <v>0</v>
      </c>
      <c r="J82" s="437">
        <v>0</v>
      </c>
      <c r="K82" s="439">
        <v>0</v>
      </c>
      <c r="L82" s="472">
        <v>0</v>
      </c>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row>
    <row r="83" spans="1:69" s="463" customFormat="1" ht="18.75" customHeight="1" x14ac:dyDescent="0.25">
      <c r="A83" s="1173" t="s">
        <v>7</v>
      </c>
      <c r="B83" s="1173"/>
      <c r="C83" s="1173"/>
      <c r="D83" s="1173"/>
      <c r="E83" s="95">
        <f>SUM(F83:H83)</f>
        <v>321848.50131000002</v>
      </c>
      <c r="F83" s="297">
        <f>F12+F32+F43+F64+F74</f>
        <v>102576.70999999999</v>
      </c>
      <c r="G83" s="297">
        <f>G12+G32+G43+G64+G74</f>
        <v>47885.211309999999</v>
      </c>
      <c r="H83" s="297">
        <f>H12+H32+H43+H64+H74</f>
        <v>171386.58000000002</v>
      </c>
      <c r="I83" s="111">
        <f>SUM(J83:L83)</f>
        <v>33536.99596</v>
      </c>
      <c r="J83" s="111">
        <f>J12+J32+J43+J64+J74</f>
        <v>17349.859659999998</v>
      </c>
      <c r="K83" s="111">
        <f>K12+K32+K43+K64+K74</f>
        <v>428.4</v>
      </c>
      <c r="L83" s="111">
        <f>L12+L32+L43+L64+L74</f>
        <v>15758.736300000002</v>
      </c>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row>
    <row r="84" spans="1:69" x14ac:dyDescent="0.25">
      <c r="A84" s="403"/>
      <c r="G84" s="317"/>
      <c r="L84" s="316"/>
    </row>
    <row r="85" spans="1:69" s="424" customFormat="1" ht="18.75" x14ac:dyDescent="0.3">
      <c r="B85" s="455" t="s">
        <v>406</v>
      </c>
      <c r="C85" s="456" t="s">
        <v>407</v>
      </c>
      <c r="H85" s="425"/>
      <c r="I85" s="426"/>
      <c r="J85" s="426"/>
      <c r="K85" s="426"/>
      <c r="L85" s="426"/>
      <c r="M85" s="426"/>
      <c r="N85" s="426"/>
      <c r="O85" s="426"/>
      <c r="P85" s="426"/>
      <c r="Q85" s="426"/>
      <c r="R85" s="426"/>
      <c r="S85" s="426"/>
      <c r="T85" s="426"/>
      <c r="U85" s="426"/>
      <c r="V85" s="426"/>
      <c r="W85" s="426"/>
      <c r="X85" s="426"/>
    </row>
    <row r="86" spans="1:69" s="424" customFormat="1" ht="29.25" customHeight="1" x14ac:dyDescent="0.3">
      <c r="B86" s="455"/>
      <c r="C86" s="456"/>
      <c r="H86" s="425"/>
      <c r="I86" s="426"/>
      <c r="J86" s="426"/>
      <c r="K86" s="426"/>
      <c r="L86" s="426"/>
      <c r="M86" s="426"/>
      <c r="N86" s="426"/>
      <c r="O86" s="426"/>
      <c r="P86" s="426"/>
      <c r="Q86" s="426"/>
      <c r="R86" s="426"/>
      <c r="S86" s="426"/>
      <c r="T86" s="426"/>
      <c r="U86" s="426"/>
      <c r="V86" s="426"/>
      <c r="W86" s="426"/>
      <c r="X86" s="426"/>
    </row>
    <row r="87" spans="1:69" s="427" customFormat="1" ht="16.5" customHeight="1" x14ac:dyDescent="0.25">
      <c r="B87" s="457" t="s">
        <v>683</v>
      </c>
      <c r="C87" s="458"/>
      <c r="H87" s="340"/>
      <c r="I87" s="362"/>
      <c r="J87" s="362"/>
      <c r="K87" s="362"/>
      <c r="L87" s="362"/>
      <c r="M87" s="362"/>
      <c r="N87" s="362"/>
      <c r="O87" s="362"/>
      <c r="P87" s="362"/>
      <c r="Q87" s="362"/>
      <c r="R87" s="362"/>
      <c r="S87" s="362"/>
      <c r="T87" s="362"/>
      <c r="U87" s="362"/>
      <c r="V87" s="362"/>
      <c r="W87" s="362"/>
      <c r="X87" s="362"/>
    </row>
    <row r="88" spans="1:69" s="341" customFormat="1" ht="16.5" customHeight="1" x14ac:dyDescent="0.25">
      <c r="B88" s="414"/>
      <c r="C88" s="415"/>
      <c r="H88" s="340"/>
      <c r="I88" s="289"/>
      <c r="J88" s="289"/>
      <c r="K88" s="289"/>
      <c r="L88" s="289"/>
      <c r="M88" s="289"/>
      <c r="N88" s="289"/>
      <c r="O88" s="289"/>
      <c r="P88" s="289"/>
      <c r="Q88" s="289"/>
      <c r="R88" s="289"/>
      <c r="S88" s="289"/>
      <c r="T88" s="289"/>
      <c r="U88" s="289"/>
      <c r="V88" s="289"/>
      <c r="W88" s="289"/>
      <c r="X88" s="289"/>
    </row>
    <row r="89" spans="1:69" x14ac:dyDescent="0.25">
      <c r="A89" s="403"/>
      <c r="L89" s="316"/>
    </row>
    <row r="90" spans="1:69" x14ac:dyDescent="0.25">
      <c r="A90" s="62" t="s">
        <v>8</v>
      </c>
      <c r="B90" s="63"/>
      <c r="C90" s="64"/>
      <c r="D90" s="64"/>
      <c r="E90" s="102"/>
      <c r="F90" s="103"/>
      <c r="G90" s="104"/>
      <c r="H90" s="104"/>
      <c r="I90" s="101"/>
      <c r="J90" s="101"/>
      <c r="L90" s="316"/>
    </row>
    <row r="91" spans="1:69" x14ac:dyDescent="0.25">
      <c r="A91" s="65"/>
      <c r="B91" s="66"/>
      <c r="C91" s="67"/>
      <c r="D91" s="67"/>
      <c r="E91" s="102"/>
      <c r="F91" s="103"/>
      <c r="G91" s="104"/>
      <c r="H91" s="104"/>
      <c r="I91" s="104"/>
      <c r="J91" s="104" t="s">
        <v>9</v>
      </c>
      <c r="L91" s="316"/>
    </row>
    <row r="92" spans="1:69" x14ac:dyDescent="0.25">
      <c r="A92" s="65"/>
      <c r="B92" s="1120" t="s">
        <v>10</v>
      </c>
      <c r="C92" s="1121"/>
      <c r="D92" s="1122"/>
      <c r="E92" s="1123" t="s">
        <v>11</v>
      </c>
      <c r="F92" s="1124"/>
      <c r="G92" s="1125"/>
      <c r="H92" s="1123" t="s">
        <v>12</v>
      </c>
      <c r="I92" s="1124"/>
      <c r="J92" s="1125"/>
    </row>
    <row r="93" spans="1:69" ht="31.5" x14ac:dyDescent="0.25">
      <c r="A93" s="65"/>
      <c r="B93" s="68" t="s">
        <v>13</v>
      </c>
      <c r="C93" s="68" t="s">
        <v>14</v>
      </c>
      <c r="D93" s="68" t="s">
        <v>15</v>
      </c>
      <c r="E93" s="105" t="s">
        <v>13</v>
      </c>
      <c r="F93" s="105" t="s">
        <v>14</v>
      </c>
      <c r="G93" s="105" t="s">
        <v>15</v>
      </c>
      <c r="H93" s="105" t="s">
        <v>13</v>
      </c>
      <c r="I93" s="105" t="s">
        <v>14</v>
      </c>
      <c r="J93" s="105" t="s">
        <v>15</v>
      </c>
    </row>
    <row r="94" spans="1:69" x14ac:dyDescent="0.25">
      <c r="A94" s="69"/>
      <c r="B94" s="106">
        <f>SUM(C94:D94)</f>
        <v>321848.50131000002</v>
      </c>
      <c r="C94" s="106">
        <f>G83</f>
        <v>47885.211309999999</v>
      </c>
      <c r="D94" s="70">
        <f>H83+F83</f>
        <v>273963.29000000004</v>
      </c>
      <c r="E94" s="296">
        <f>SUM(F94:G94)</f>
        <v>33536.99596</v>
      </c>
      <c r="F94" s="296">
        <f>K83</f>
        <v>428.4</v>
      </c>
      <c r="G94" s="296">
        <f>J83+L83</f>
        <v>33108.595959999999</v>
      </c>
      <c r="H94" s="297">
        <f>B94-E94</f>
        <v>288311.50534999999</v>
      </c>
      <c r="I94" s="107">
        <f>F94-C94</f>
        <v>-47456.811309999997</v>
      </c>
      <c r="J94" s="107">
        <f>G94-D94</f>
        <v>-240854.69404000003</v>
      </c>
    </row>
    <row r="95" spans="1:69" x14ac:dyDescent="0.25">
      <c r="A95" s="403"/>
      <c r="C95" s="512"/>
    </row>
    <row r="96" spans="1:69" x14ac:dyDescent="0.25">
      <c r="A96" s="403"/>
    </row>
    <row r="97" spans="1:5" x14ac:dyDescent="0.25">
      <c r="A97" s="403"/>
    </row>
    <row r="98" spans="1:5" x14ac:dyDescent="0.25">
      <c r="A98" s="403"/>
      <c r="E98" s="420"/>
    </row>
    <row r="99" spans="1:5" x14ac:dyDescent="0.25">
      <c r="A99" s="403"/>
    </row>
    <row r="100" spans="1:5" x14ac:dyDescent="0.25">
      <c r="A100" s="403"/>
    </row>
    <row r="101" spans="1:5" x14ac:dyDescent="0.25">
      <c r="A101" s="403"/>
    </row>
    <row r="102" spans="1:5" x14ac:dyDescent="0.25">
      <c r="A102" s="403"/>
    </row>
    <row r="103" spans="1:5" x14ac:dyDescent="0.25">
      <c r="A103" s="403"/>
    </row>
    <row r="104" spans="1:5" x14ac:dyDescent="0.25">
      <c r="A104" s="403"/>
    </row>
    <row r="105" spans="1:5" x14ac:dyDescent="0.25">
      <c r="A105" s="403"/>
    </row>
    <row r="106" spans="1:5" x14ac:dyDescent="0.25">
      <c r="A106" s="403"/>
    </row>
    <row r="107" spans="1:5" x14ac:dyDescent="0.25">
      <c r="A107" s="403"/>
    </row>
    <row r="108" spans="1:5" x14ac:dyDescent="0.25">
      <c r="A108" s="403"/>
    </row>
    <row r="109" spans="1:5" x14ac:dyDescent="0.25">
      <c r="A109" s="403"/>
    </row>
    <row r="110" spans="1:5" x14ac:dyDescent="0.25">
      <c r="A110" s="403"/>
    </row>
    <row r="111" spans="1:5" x14ac:dyDescent="0.25">
      <c r="A111" s="403"/>
    </row>
    <row r="112" spans="1:5" x14ac:dyDescent="0.25">
      <c r="A112" s="403"/>
    </row>
    <row r="113" spans="1:1" x14ac:dyDescent="0.25">
      <c r="A113" s="403"/>
    </row>
    <row r="114" spans="1:1" x14ac:dyDescent="0.25">
      <c r="A114" s="403"/>
    </row>
    <row r="115" spans="1:1" x14ac:dyDescent="0.25">
      <c r="A115" s="403"/>
    </row>
    <row r="116" spans="1:1" x14ac:dyDescent="0.25">
      <c r="A116" s="403"/>
    </row>
    <row r="117" spans="1:1" x14ac:dyDescent="0.25">
      <c r="A117" s="403"/>
    </row>
    <row r="118" spans="1:1" x14ac:dyDescent="0.25">
      <c r="A118" s="403"/>
    </row>
    <row r="119" spans="1:1" x14ac:dyDescent="0.25">
      <c r="A119" s="403"/>
    </row>
    <row r="120" spans="1:1" x14ac:dyDescent="0.25">
      <c r="A120" s="403"/>
    </row>
    <row r="121" spans="1:1" x14ac:dyDescent="0.25">
      <c r="A121" s="403"/>
    </row>
    <row r="122" spans="1:1" x14ac:dyDescent="0.25">
      <c r="A122" s="403"/>
    </row>
    <row r="123" spans="1:1" x14ac:dyDescent="0.25">
      <c r="A123" s="403"/>
    </row>
    <row r="124" spans="1:1" x14ac:dyDescent="0.25">
      <c r="A124" s="403"/>
    </row>
    <row r="125" spans="1:1" x14ac:dyDescent="0.25">
      <c r="A125" s="403"/>
    </row>
    <row r="126" spans="1:1" x14ac:dyDescent="0.25">
      <c r="A126" s="403"/>
    </row>
    <row r="127" spans="1:1" x14ac:dyDescent="0.25">
      <c r="A127" s="403"/>
    </row>
    <row r="128" spans="1:1" x14ac:dyDescent="0.25">
      <c r="A128" s="403"/>
    </row>
    <row r="129" spans="1:1" x14ac:dyDescent="0.25">
      <c r="A129" s="403"/>
    </row>
    <row r="130" spans="1:1" x14ac:dyDescent="0.25">
      <c r="A130" s="403"/>
    </row>
    <row r="131" spans="1:1" x14ac:dyDescent="0.25">
      <c r="A131" s="403"/>
    </row>
    <row r="132" spans="1:1" x14ac:dyDescent="0.25">
      <c r="A132" s="403"/>
    </row>
    <row r="133" spans="1:1" x14ac:dyDescent="0.25">
      <c r="A133" s="403"/>
    </row>
    <row r="134" spans="1:1" x14ac:dyDescent="0.25">
      <c r="A134" s="403"/>
    </row>
    <row r="135" spans="1:1" x14ac:dyDescent="0.25">
      <c r="A135" s="403"/>
    </row>
    <row r="136" spans="1:1" x14ac:dyDescent="0.25">
      <c r="A136" s="403"/>
    </row>
    <row r="137" spans="1:1" x14ac:dyDescent="0.25">
      <c r="A137" s="403"/>
    </row>
    <row r="138" spans="1:1" x14ac:dyDescent="0.25">
      <c r="A138" s="403"/>
    </row>
    <row r="139" spans="1:1" x14ac:dyDescent="0.25">
      <c r="A139" s="403"/>
    </row>
    <row r="140" spans="1:1" x14ac:dyDescent="0.25">
      <c r="A140" s="403"/>
    </row>
    <row r="141" spans="1:1" x14ac:dyDescent="0.25">
      <c r="A141" s="403"/>
    </row>
    <row r="142" spans="1:1" x14ac:dyDescent="0.25">
      <c r="A142" s="403"/>
    </row>
    <row r="143" spans="1:1" x14ac:dyDescent="0.25">
      <c r="A143" s="403"/>
    </row>
    <row r="144" spans="1:1" x14ac:dyDescent="0.25">
      <c r="A144" s="403"/>
    </row>
    <row r="145" spans="1:1" x14ac:dyDescent="0.25">
      <c r="A145" s="403"/>
    </row>
    <row r="146" spans="1:1" x14ac:dyDescent="0.25">
      <c r="A146" s="403"/>
    </row>
    <row r="147" spans="1:1" x14ac:dyDescent="0.25">
      <c r="A147" s="403"/>
    </row>
    <row r="148" spans="1:1" x14ac:dyDescent="0.25">
      <c r="A148" s="403"/>
    </row>
    <row r="149" spans="1:1" x14ac:dyDescent="0.25">
      <c r="A149" s="403"/>
    </row>
    <row r="150" spans="1:1" x14ac:dyDescent="0.25">
      <c r="A150" s="403"/>
    </row>
    <row r="151" spans="1:1" x14ac:dyDescent="0.25">
      <c r="A151" s="403"/>
    </row>
    <row r="152" spans="1:1" x14ac:dyDescent="0.25">
      <c r="A152" s="403"/>
    </row>
    <row r="153" spans="1:1" x14ac:dyDescent="0.25">
      <c r="A153" s="403"/>
    </row>
    <row r="154" spans="1:1" x14ac:dyDescent="0.25">
      <c r="A154" s="403"/>
    </row>
    <row r="155" spans="1:1" x14ac:dyDescent="0.25">
      <c r="A155" s="403"/>
    </row>
    <row r="156" spans="1:1" x14ac:dyDescent="0.25">
      <c r="A156" s="403"/>
    </row>
    <row r="157" spans="1:1" x14ac:dyDescent="0.25">
      <c r="A157" s="403"/>
    </row>
    <row r="158" spans="1:1" x14ac:dyDescent="0.25">
      <c r="A158" s="403"/>
    </row>
    <row r="159" spans="1:1" x14ac:dyDescent="0.25">
      <c r="A159" s="403"/>
    </row>
    <row r="160" spans="1:1" x14ac:dyDescent="0.25">
      <c r="A160" s="403"/>
    </row>
    <row r="161" spans="1:1" x14ac:dyDescent="0.25">
      <c r="A161" s="403"/>
    </row>
    <row r="162" spans="1:1" x14ac:dyDescent="0.25">
      <c r="A162" s="403"/>
    </row>
    <row r="163" spans="1:1" x14ac:dyDescent="0.25">
      <c r="A163" s="403"/>
    </row>
    <row r="164" spans="1:1" x14ac:dyDescent="0.25">
      <c r="A164" s="403"/>
    </row>
    <row r="165" spans="1:1" x14ac:dyDescent="0.25">
      <c r="A165" s="403"/>
    </row>
    <row r="166" spans="1:1" x14ac:dyDescent="0.25">
      <c r="A166" s="403"/>
    </row>
    <row r="167" spans="1:1" x14ac:dyDescent="0.25">
      <c r="A167" s="403"/>
    </row>
    <row r="168" spans="1:1" x14ac:dyDescent="0.25">
      <c r="A168" s="403"/>
    </row>
    <row r="169" spans="1:1" x14ac:dyDescent="0.25">
      <c r="A169" s="403"/>
    </row>
    <row r="170" spans="1:1" x14ac:dyDescent="0.25">
      <c r="A170" s="403"/>
    </row>
    <row r="171" spans="1:1" x14ac:dyDescent="0.25">
      <c r="A171" s="403"/>
    </row>
    <row r="172" spans="1:1" x14ac:dyDescent="0.25">
      <c r="A172" s="403"/>
    </row>
    <row r="173" spans="1:1" x14ac:dyDescent="0.25">
      <c r="A173" s="403"/>
    </row>
    <row r="174" spans="1:1" x14ac:dyDescent="0.25">
      <c r="A174" s="403"/>
    </row>
    <row r="175" spans="1:1" x14ac:dyDescent="0.25">
      <c r="A175" s="403"/>
    </row>
    <row r="176" spans="1:1" x14ac:dyDescent="0.25">
      <c r="A176" s="403"/>
    </row>
    <row r="177" spans="1:1" x14ac:dyDescent="0.25">
      <c r="A177" s="403"/>
    </row>
    <row r="178" spans="1:1" x14ac:dyDescent="0.25">
      <c r="A178" s="403"/>
    </row>
    <row r="179" spans="1:1" x14ac:dyDescent="0.25">
      <c r="A179" s="403"/>
    </row>
    <row r="180" spans="1:1" x14ac:dyDescent="0.25">
      <c r="A180" s="403"/>
    </row>
    <row r="181" spans="1:1" x14ac:dyDescent="0.25">
      <c r="A181" s="403"/>
    </row>
    <row r="182" spans="1:1" x14ac:dyDescent="0.25">
      <c r="A182" s="403"/>
    </row>
    <row r="183" spans="1:1" x14ac:dyDescent="0.25">
      <c r="A183" s="403"/>
    </row>
    <row r="184" spans="1:1" x14ac:dyDescent="0.25">
      <c r="A184" s="403"/>
    </row>
    <row r="185" spans="1:1" x14ac:dyDescent="0.25">
      <c r="A185" s="403"/>
    </row>
    <row r="186" spans="1:1" x14ac:dyDescent="0.25">
      <c r="A186" s="403"/>
    </row>
    <row r="187" spans="1:1" x14ac:dyDescent="0.25">
      <c r="A187" s="403"/>
    </row>
    <row r="188" spans="1:1" x14ac:dyDescent="0.25">
      <c r="A188" s="403"/>
    </row>
    <row r="189" spans="1:1" x14ac:dyDescent="0.25">
      <c r="A189" s="403"/>
    </row>
    <row r="190" spans="1:1" x14ac:dyDescent="0.25">
      <c r="A190" s="403"/>
    </row>
    <row r="191" spans="1:1" x14ac:dyDescent="0.25">
      <c r="A191" s="403"/>
    </row>
    <row r="192" spans="1:1" x14ac:dyDescent="0.25">
      <c r="A192" s="403"/>
    </row>
    <row r="193" spans="1:1" x14ac:dyDescent="0.25">
      <c r="A193" s="403"/>
    </row>
    <row r="194" spans="1:1" x14ac:dyDescent="0.25">
      <c r="A194" s="403"/>
    </row>
    <row r="195" spans="1:1" x14ac:dyDescent="0.25">
      <c r="A195" s="403"/>
    </row>
    <row r="196" spans="1:1" x14ac:dyDescent="0.25">
      <c r="A196" s="403"/>
    </row>
    <row r="197" spans="1:1" x14ac:dyDescent="0.25">
      <c r="A197" s="403"/>
    </row>
    <row r="198" spans="1:1" x14ac:dyDescent="0.25">
      <c r="A198" s="403"/>
    </row>
    <row r="199" spans="1:1" x14ac:dyDescent="0.25">
      <c r="A199" s="403"/>
    </row>
    <row r="200" spans="1:1" x14ac:dyDescent="0.25">
      <c r="A200" s="403"/>
    </row>
    <row r="201" spans="1:1" x14ac:dyDescent="0.25">
      <c r="A201" s="403"/>
    </row>
    <row r="202" spans="1:1" x14ac:dyDescent="0.25">
      <c r="A202" s="403"/>
    </row>
    <row r="203" spans="1:1" x14ac:dyDescent="0.25">
      <c r="A203" s="403"/>
    </row>
    <row r="204" spans="1:1" x14ac:dyDescent="0.25">
      <c r="A204" s="403"/>
    </row>
    <row r="205" spans="1:1" x14ac:dyDescent="0.25">
      <c r="A205" s="403"/>
    </row>
    <row r="206" spans="1:1" x14ac:dyDescent="0.25">
      <c r="A206" s="403"/>
    </row>
    <row r="207" spans="1:1" x14ac:dyDescent="0.25">
      <c r="A207" s="403"/>
    </row>
    <row r="208" spans="1:1" x14ac:dyDescent="0.25">
      <c r="A208" s="403"/>
    </row>
    <row r="209" spans="1:1" x14ac:dyDescent="0.25">
      <c r="A209" s="403"/>
    </row>
    <row r="210" spans="1:1" x14ac:dyDescent="0.25">
      <c r="A210" s="403"/>
    </row>
    <row r="211" spans="1:1" x14ac:dyDescent="0.25">
      <c r="A211" s="403"/>
    </row>
    <row r="212" spans="1:1" x14ac:dyDescent="0.25">
      <c r="A212" s="403"/>
    </row>
    <row r="213" spans="1:1" x14ac:dyDescent="0.25">
      <c r="A213" s="403"/>
    </row>
    <row r="214" spans="1:1" x14ac:dyDescent="0.25">
      <c r="A214" s="403"/>
    </row>
    <row r="215" spans="1:1" x14ac:dyDescent="0.25">
      <c r="A215" s="403"/>
    </row>
    <row r="216" spans="1:1" x14ac:dyDescent="0.25">
      <c r="A216" s="403"/>
    </row>
    <row r="217" spans="1:1" x14ac:dyDescent="0.25">
      <c r="A217" s="403"/>
    </row>
    <row r="218" spans="1:1" x14ac:dyDescent="0.25">
      <c r="A218" s="403"/>
    </row>
    <row r="219" spans="1:1" x14ac:dyDescent="0.25">
      <c r="A219" s="403"/>
    </row>
    <row r="220" spans="1:1" x14ac:dyDescent="0.25">
      <c r="A220" s="403"/>
    </row>
    <row r="221" spans="1:1" x14ac:dyDescent="0.25">
      <c r="A221" s="403"/>
    </row>
    <row r="222" spans="1:1" x14ac:dyDescent="0.25">
      <c r="A222" s="403"/>
    </row>
    <row r="223" spans="1:1" x14ac:dyDescent="0.25">
      <c r="A223" s="403"/>
    </row>
    <row r="224" spans="1:1" x14ac:dyDescent="0.25">
      <c r="A224" s="403"/>
    </row>
    <row r="225" spans="1:1" x14ac:dyDescent="0.25">
      <c r="A225" s="403"/>
    </row>
    <row r="226" spans="1:1" x14ac:dyDescent="0.25">
      <c r="A226" s="403"/>
    </row>
    <row r="227" spans="1:1" x14ac:dyDescent="0.25">
      <c r="A227" s="403"/>
    </row>
    <row r="228" spans="1:1" x14ac:dyDescent="0.25">
      <c r="A228" s="403"/>
    </row>
    <row r="229" spans="1:1" x14ac:dyDescent="0.25">
      <c r="A229" s="403"/>
    </row>
    <row r="230" spans="1:1" x14ac:dyDescent="0.25">
      <c r="A230" s="403"/>
    </row>
    <row r="231" spans="1:1" x14ac:dyDescent="0.25">
      <c r="A231" s="403"/>
    </row>
    <row r="232" spans="1:1" x14ac:dyDescent="0.25">
      <c r="A232" s="403"/>
    </row>
    <row r="233" spans="1:1" x14ac:dyDescent="0.25">
      <c r="A233" s="403"/>
    </row>
    <row r="234" spans="1:1" x14ac:dyDescent="0.25">
      <c r="A234" s="403"/>
    </row>
    <row r="235" spans="1:1" x14ac:dyDescent="0.25">
      <c r="A235" s="403"/>
    </row>
    <row r="236" spans="1:1" x14ac:dyDescent="0.25">
      <c r="A236" s="403"/>
    </row>
    <row r="237" spans="1:1" x14ac:dyDescent="0.25">
      <c r="A237" s="403"/>
    </row>
    <row r="238" spans="1:1" x14ac:dyDescent="0.25">
      <c r="A238" s="403"/>
    </row>
    <row r="239" spans="1:1" x14ac:dyDescent="0.25">
      <c r="A239" s="403"/>
    </row>
    <row r="240" spans="1:1" x14ac:dyDescent="0.25">
      <c r="A240" s="403"/>
    </row>
    <row r="241" spans="1:1" x14ac:dyDescent="0.25">
      <c r="A241" s="403"/>
    </row>
    <row r="242" spans="1:1" x14ac:dyDescent="0.25">
      <c r="A242" s="403"/>
    </row>
    <row r="243" spans="1:1" x14ac:dyDescent="0.25">
      <c r="A243" s="403"/>
    </row>
    <row r="244" spans="1:1" x14ac:dyDescent="0.25">
      <c r="A244" s="403"/>
    </row>
    <row r="245" spans="1:1" x14ac:dyDescent="0.25">
      <c r="A245" s="403"/>
    </row>
    <row r="246" spans="1:1" x14ac:dyDescent="0.25">
      <c r="A246" s="403"/>
    </row>
    <row r="247" spans="1:1" x14ac:dyDescent="0.25">
      <c r="A247" s="403"/>
    </row>
    <row r="248" spans="1:1" x14ac:dyDescent="0.25">
      <c r="A248" s="403"/>
    </row>
    <row r="249" spans="1:1" x14ac:dyDescent="0.25">
      <c r="A249" s="403"/>
    </row>
    <row r="250" spans="1:1" x14ac:dyDescent="0.25">
      <c r="A250" s="403"/>
    </row>
    <row r="251" spans="1:1" x14ac:dyDescent="0.25">
      <c r="A251" s="403"/>
    </row>
    <row r="252" spans="1:1" x14ac:dyDescent="0.25">
      <c r="A252" s="403"/>
    </row>
    <row r="253" spans="1:1" x14ac:dyDescent="0.25">
      <c r="A253" s="403"/>
    </row>
    <row r="254" spans="1:1" x14ac:dyDescent="0.25">
      <c r="A254" s="403"/>
    </row>
    <row r="255" spans="1:1" x14ac:dyDescent="0.25">
      <c r="A255" s="403"/>
    </row>
    <row r="256" spans="1:1" x14ac:dyDescent="0.25">
      <c r="A256" s="403"/>
    </row>
    <row r="257" spans="1:1" x14ac:dyDescent="0.25">
      <c r="A257" s="403"/>
    </row>
    <row r="258" spans="1:1" x14ac:dyDescent="0.25">
      <c r="A258" s="403"/>
    </row>
    <row r="259" spans="1:1" x14ac:dyDescent="0.25">
      <c r="A259" s="403"/>
    </row>
    <row r="260" spans="1:1" x14ac:dyDescent="0.25">
      <c r="A260" s="403"/>
    </row>
    <row r="261" spans="1:1" x14ac:dyDescent="0.25">
      <c r="A261" s="403"/>
    </row>
    <row r="262" spans="1:1" x14ac:dyDescent="0.25">
      <c r="A262" s="403"/>
    </row>
    <row r="263" spans="1:1" x14ac:dyDescent="0.25">
      <c r="A263" s="403"/>
    </row>
    <row r="264" spans="1:1" x14ac:dyDescent="0.25">
      <c r="A264" s="403"/>
    </row>
    <row r="265" spans="1:1" x14ac:dyDescent="0.25">
      <c r="A265" s="403"/>
    </row>
    <row r="266" spans="1:1" x14ac:dyDescent="0.25">
      <c r="A266" s="403"/>
    </row>
    <row r="267" spans="1:1" x14ac:dyDescent="0.25">
      <c r="A267" s="403"/>
    </row>
    <row r="268" spans="1:1" x14ac:dyDescent="0.25">
      <c r="A268" s="403"/>
    </row>
    <row r="269" spans="1:1" x14ac:dyDescent="0.25">
      <c r="A269" s="403"/>
    </row>
    <row r="270" spans="1:1" x14ac:dyDescent="0.25">
      <c r="A270" s="403"/>
    </row>
    <row r="271" spans="1:1" x14ac:dyDescent="0.25">
      <c r="A271" s="403"/>
    </row>
    <row r="272" spans="1:1" x14ac:dyDescent="0.25">
      <c r="A272" s="403"/>
    </row>
    <row r="273" spans="1:1" x14ac:dyDescent="0.25">
      <c r="A273" s="403"/>
    </row>
    <row r="274" spans="1:1" x14ac:dyDescent="0.25">
      <c r="A274" s="403"/>
    </row>
    <row r="275" spans="1:1" x14ac:dyDescent="0.25">
      <c r="A275" s="403"/>
    </row>
    <row r="276" spans="1:1" x14ac:dyDescent="0.25">
      <c r="A276" s="403"/>
    </row>
    <row r="277" spans="1:1" x14ac:dyDescent="0.25">
      <c r="A277" s="403"/>
    </row>
    <row r="278" spans="1:1" x14ac:dyDescent="0.25">
      <c r="A278" s="403"/>
    </row>
    <row r="279" spans="1:1" x14ac:dyDescent="0.25">
      <c r="A279" s="403"/>
    </row>
    <row r="280" spans="1:1" x14ac:dyDescent="0.25">
      <c r="A280" s="403"/>
    </row>
    <row r="281" spans="1:1" x14ac:dyDescent="0.25">
      <c r="A281" s="403"/>
    </row>
    <row r="282" spans="1:1" x14ac:dyDescent="0.25">
      <c r="A282" s="403"/>
    </row>
    <row r="283" spans="1:1" x14ac:dyDescent="0.25">
      <c r="A283" s="403"/>
    </row>
    <row r="284" spans="1:1" x14ac:dyDescent="0.25">
      <c r="A284" s="403"/>
    </row>
    <row r="285" spans="1:1" x14ac:dyDescent="0.25">
      <c r="A285" s="403"/>
    </row>
    <row r="286" spans="1:1" x14ac:dyDescent="0.25">
      <c r="A286" s="403"/>
    </row>
    <row r="287" spans="1:1" x14ac:dyDescent="0.25">
      <c r="A287" s="403"/>
    </row>
    <row r="288" spans="1:1" x14ac:dyDescent="0.25">
      <c r="A288" s="403"/>
    </row>
    <row r="289" spans="1:1" x14ac:dyDescent="0.25">
      <c r="A289" s="403"/>
    </row>
    <row r="290" spans="1:1" x14ac:dyDescent="0.25">
      <c r="A290" s="403"/>
    </row>
    <row r="291" spans="1:1" x14ac:dyDescent="0.25">
      <c r="A291" s="403"/>
    </row>
    <row r="292" spans="1:1" x14ac:dyDescent="0.25">
      <c r="A292" s="403"/>
    </row>
    <row r="293" spans="1:1" x14ac:dyDescent="0.25">
      <c r="A293" s="403"/>
    </row>
    <row r="294" spans="1:1" x14ac:dyDescent="0.25">
      <c r="A294" s="403"/>
    </row>
    <row r="295" spans="1:1" x14ac:dyDescent="0.25">
      <c r="A295" s="403"/>
    </row>
    <row r="296" spans="1:1" x14ac:dyDescent="0.25">
      <c r="A296" s="403"/>
    </row>
    <row r="297" spans="1:1" x14ac:dyDescent="0.25">
      <c r="A297" s="403"/>
    </row>
    <row r="298" spans="1:1" x14ac:dyDescent="0.25">
      <c r="A298" s="403"/>
    </row>
    <row r="299" spans="1:1" x14ac:dyDescent="0.25">
      <c r="A299" s="403"/>
    </row>
    <row r="300" spans="1:1" x14ac:dyDescent="0.25">
      <c r="A300" s="403"/>
    </row>
    <row r="301" spans="1:1" x14ac:dyDescent="0.25">
      <c r="A301" s="403"/>
    </row>
    <row r="302" spans="1:1" x14ac:dyDescent="0.25">
      <c r="A302" s="403"/>
    </row>
    <row r="303" spans="1:1" x14ac:dyDescent="0.25">
      <c r="A303" s="403"/>
    </row>
    <row r="304" spans="1:1" x14ac:dyDescent="0.25">
      <c r="A304" s="403"/>
    </row>
    <row r="305" spans="1:1" x14ac:dyDescent="0.25">
      <c r="A305" s="403"/>
    </row>
    <row r="306" spans="1:1" x14ac:dyDescent="0.25">
      <c r="A306" s="403"/>
    </row>
    <row r="307" spans="1:1" x14ac:dyDescent="0.25">
      <c r="A307" s="403"/>
    </row>
    <row r="308" spans="1:1" x14ac:dyDescent="0.25">
      <c r="A308" s="403"/>
    </row>
    <row r="309" spans="1:1" x14ac:dyDescent="0.25">
      <c r="A309" s="403"/>
    </row>
    <row r="310" spans="1:1" x14ac:dyDescent="0.25">
      <c r="A310" s="403"/>
    </row>
    <row r="311" spans="1:1" x14ac:dyDescent="0.25">
      <c r="A311" s="403"/>
    </row>
    <row r="312" spans="1:1" x14ac:dyDescent="0.25">
      <c r="A312" s="403"/>
    </row>
    <row r="313" spans="1:1" x14ac:dyDescent="0.25">
      <c r="A313" s="403"/>
    </row>
    <row r="314" spans="1:1" x14ac:dyDescent="0.25">
      <c r="A314" s="403"/>
    </row>
    <row r="315" spans="1:1" x14ac:dyDescent="0.25">
      <c r="A315" s="403"/>
    </row>
    <row r="316" spans="1:1" x14ac:dyDescent="0.25">
      <c r="A316" s="403"/>
    </row>
    <row r="317" spans="1:1" x14ac:dyDescent="0.25">
      <c r="A317" s="403"/>
    </row>
    <row r="318" spans="1:1" x14ac:dyDescent="0.25">
      <c r="A318" s="403"/>
    </row>
    <row r="319" spans="1:1" x14ac:dyDescent="0.25">
      <c r="A319" s="403"/>
    </row>
    <row r="320" spans="1:1" x14ac:dyDescent="0.25">
      <c r="A320" s="403"/>
    </row>
    <row r="321" spans="1:1" x14ac:dyDescent="0.25">
      <c r="A321" s="403"/>
    </row>
    <row r="322" spans="1:1" x14ac:dyDescent="0.25">
      <c r="A322" s="403"/>
    </row>
    <row r="323" spans="1:1" x14ac:dyDescent="0.25">
      <c r="A323" s="403"/>
    </row>
    <row r="324" spans="1:1" x14ac:dyDescent="0.25">
      <c r="A324" s="403"/>
    </row>
    <row r="325" spans="1:1" x14ac:dyDescent="0.25">
      <c r="A325" s="403"/>
    </row>
    <row r="326" spans="1:1" x14ac:dyDescent="0.25">
      <c r="A326" s="403"/>
    </row>
    <row r="327" spans="1:1" x14ac:dyDescent="0.25">
      <c r="A327" s="403"/>
    </row>
    <row r="328" spans="1:1" x14ac:dyDescent="0.25">
      <c r="A328" s="403"/>
    </row>
    <row r="329" spans="1:1" x14ac:dyDescent="0.25">
      <c r="A329" s="403"/>
    </row>
    <row r="330" spans="1:1" x14ac:dyDescent="0.25">
      <c r="A330" s="403"/>
    </row>
    <row r="331" spans="1:1" x14ac:dyDescent="0.25">
      <c r="A331" s="403"/>
    </row>
    <row r="332" spans="1:1" x14ac:dyDescent="0.25">
      <c r="A332" s="403"/>
    </row>
    <row r="333" spans="1:1" x14ac:dyDescent="0.25">
      <c r="A333" s="403"/>
    </row>
    <row r="334" spans="1:1" x14ac:dyDescent="0.25">
      <c r="A334" s="403"/>
    </row>
    <row r="335" spans="1:1" x14ac:dyDescent="0.25">
      <c r="A335" s="403"/>
    </row>
    <row r="336" spans="1:1" x14ac:dyDescent="0.25">
      <c r="A336" s="403"/>
    </row>
    <row r="337" spans="1:1" x14ac:dyDescent="0.25">
      <c r="A337" s="403"/>
    </row>
    <row r="338" spans="1:1" x14ac:dyDescent="0.25">
      <c r="A338" s="403"/>
    </row>
    <row r="339" spans="1:1" x14ac:dyDescent="0.25">
      <c r="A339" s="403"/>
    </row>
    <row r="340" spans="1:1" x14ac:dyDescent="0.25">
      <c r="A340" s="403"/>
    </row>
    <row r="341" spans="1:1" x14ac:dyDescent="0.25">
      <c r="A341" s="403"/>
    </row>
    <row r="342" spans="1:1" x14ac:dyDescent="0.25">
      <c r="A342" s="403"/>
    </row>
    <row r="343" spans="1:1" x14ac:dyDescent="0.25">
      <c r="A343" s="403"/>
    </row>
    <row r="344" spans="1:1" x14ac:dyDescent="0.25">
      <c r="A344" s="403"/>
    </row>
    <row r="345" spans="1:1" x14ac:dyDescent="0.25">
      <c r="A345" s="403"/>
    </row>
    <row r="346" spans="1:1" x14ac:dyDescent="0.25">
      <c r="A346" s="403"/>
    </row>
    <row r="347" spans="1:1" x14ac:dyDescent="0.25">
      <c r="A347" s="403"/>
    </row>
    <row r="348" spans="1:1" x14ac:dyDescent="0.25">
      <c r="A348" s="403"/>
    </row>
    <row r="349" spans="1:1" x14ac:dyDescent="0.25">
      <c r="A349" s="403"/>
    </row>
    <row r="350" spans="1:1" x14ac:dyDescent="0.25">
      <c r="A350" s="403"/>
    </row>
    <row r="351" spans="1:1" x14ac:dyDescent="0.25">
      <c r="A351" s="403"/>
    </row>
    <row r="352" spans="1:1" x14ac:dyDescent="0.25">
      <c r="A352" s="403"/>
    </row>
    <row r="353" spans="1:1" x14ac:dyDescent="0.25">
      <c r="A353" s="403"/>
    </row>
    <row r="354" spans="1:1" x14ac:dyDescent="0.25">
      <c r="A354" s="403"/>
    </row>
    <row r="355" spans="1:1" x14ac:dyDescent="0.25">
      <c r="A355" s="403"/>
    </row>
    <row r="356" spans="1:1" x14ac:dyDescent="0.25">
      <c r="A356" s="403"/>
    </row>
    <row r="357" spans="1:1" x14ac:dyDescent="0.25">
      <c r="A357" s="403"/>
    </row>
    <row r="358" spans="1:1" x14ac:dyDescent="0.25">
      <c r="A358" s="403"/>
    </row>
    <row r="359" spans="1:1" x14ac:dyDescent="0.25">
      <c r="A359" s="403"/>
    </row>
    <row r="360" spans="1:1" x14ac:dyDescent="0.25">
      <c r="A360" s="403"/>
    </row>
    <row r="361" spans="1:1" x14ac:dyDescent="0.25">
      <c r="A361" s="403"/>
    </row>
    <row r="362" spans="1:1" x14ac:dyDescent="0.25">
      <c r="A362" s="403"/>
    </row>
    <row r="363" spans="1:1" x14ac:dyDescent="0.25">
      <c r="A363" s="403"/>
    </row>
    <row r="364" spans="1:1" x14ac:dyDescent="0.25">
      <c r="A364" s="403"/>
    </row>
    <row r="365" spans="1:1" x14ac:dyDescent="0.25">
      <c r="A365" s="403"/>
    </row>
    <row r="366" spans="1:1" x14ac:dyDescent="0.25">
      <c r="A366" s="403"/>
    </row>
    <row r="367" spans="1:1" x14ac:dyDescent="0.25">
      <c r="A367" s="403"/>
    </row>
    <row r="368" spans="1:1" x14ac:dyDescent="0.25">
      <c r="A368" s="403"/>
    </row>
    <row r="369" spans="1:1" x14ac:dyDescent="0.25">
      <c r="A369" s="403"/>
    </row>
    <row r="370" spans="1:1" x14ac:dyDescent="0.25">
      <c r="A370" s="403"/>
    </row>
    <row r="371" spans="1:1" x14ac:dyDescent="0.25">
      <c r="A371" s="403"/>
    </row>
    <row r="372" spans="1:1" x14ac:dyDescent="0.25">
      <c r="A372" s="403"/>
    </row>
    <row r="373" spans="1:1" x14ac:dyDescent="0.25">
      <c r="A373" s="403"/>
    </row>
    <row r="374" spans="1:1" x14ac:dyDescent="0.25">
      <c r="A374" s="403"/>
    </row>
    <row r="375" spans="1:1" x14ac:dyDescent="0.25">
      <c r="A375" s="403"/>
    </row>
    <row r="376" spans="1:1" x14ac:dyDescent="0.25">
      <c r="A376" s="403"/>
    </row>
    <row r="377" spans="1:1" x14ac:dyDescent="0.25">
      <c r="A377" s="403"/>
    </row>
    <row r="378" spans="1:1" x14ac:dyDescent="0.25">
      <c r="A378" s="403"/>
    </row>
    <row r="379" spans="1:1" x14ac:dyDescent="0.25">
      <c r="A379" s="403"/>
    </row>
    <row r="380" spans="1:1" x14ac:dyDescent="0.25">
      <c r="A380" s="403"/>
    </row>
    <row r="381" spans="1:1" x14ac:dyDescent="0.25">
      <c r="A381" s="403"/>
    </row>
    <row r="382" spans="1:1" x14ac:dyDescent="0.25">
      <c r="A382" s="403"/>
    </row>
    <row r="383" spans="1:1" x14ac:dyDescent="0.25">
      <c r="A383" s="403"/>
    </row>
    <row r="384" spans="1:1" x14ac:dyDescent="0.25">
      <c r="A384" s="403"/>
    </row>
    <row r="385" spans="1:1" x14ac:dyDescent="0.25">
      <c r="A385" s="403"/>
    </row>
    <row r="386" spans="1:1" x14ac:dyDescent="0.25">
      <c r="A386" s="403"/>
    </row>
    <row r="387" spans="1:1" x14ac:dyDescent="0.25">
      <c r="A387" s="403"/>
    </row>
    <row r="388" spans="1:1" x14ac:dyDescent="0.25">
      <c r="A388" s="403"/>
    </row>
    <row r="389" spans="1:1" x14ac:dyDescent="0.25">
      <c r="A389" s="403"/>
    </row>
    <row r="390" spans="1:1" x14ac:dyDescent="0.25">
      <c r="A390" s="403"/>
    </row>
    <row r="391" spans="1:1" x14ac:dyDescent="0.25">
      <c r="A391" s="403"/>
    </row>
    <row r="392" spans="1:1" x14ac:dyDescent="0.25">
      <c r="A392" s="403"/>
    </row>
    <row r="393" spans="1:1" x14ac:dyDescent="0.25">
      <c r="A393" s="403"/>
    </row>
    <row r="394" spans="1:1" x14ac:dyDescent="0.25">
      <c r="A394" s="403"/>
    </row>
    <row r="395" spans="1:1" x14ac:dyDescent="0.25">
      <c r="A395" s="403"/>
    </row>
    <row r="396" spans="1:1" x14ac:dyDescent="0.25">
      <c r="A396" s="403"/>
    </row>
    <row r="397" spans="1:1" x14ac:dyDescent="0.25">
      <c r="A397" s="403"/>
    </row>
    <row r="398" spans="1:1" x14ac:dyDescent="0.25">
      <c r="A398" s="403"/>
    </row>
    <row r="399" spans="1:1" x14ac:dyDescent="0.25">
      <c r="A399" s="403"/>
    </row>
    <row r="400" spans="1:1" x14ac:dyDescent="0.25">
      <c r="A400" s="403"/>
    </row>
    <row r="401" spans="1:1" x14ac:dyDescent="0.25">
      <c r="A401" s="403"/>
    </row>
    <row r="402" spans="1:1" x14ac:dyDescent="0.25">
      <c r="A402" s="403"/>
    </row>
    <row r="403" spans="1:1" x14ac:dyDescent="0.25">
      <c r="A403" s="403"/>
    </row>
    <row r="404" spans="1:1" x14ac:dyDescent="0.25">
      <c r="A404" s="403"/>
    </row>
    <row r="405" spans="1:1" x14ac:dyDescent="0.25">
      <c r="A405" s="403"/>
    </row>
    <row r="406" spans="1:1" x14ac:dyDescent="0.25">
      <c r="A406" s="403"/>
    </row>
    <row r="407" spans="1:1" x14ac:dyDescent="0.25">
      <c r="A407" s="403"/>
    </row>
    <row r="408" spans="1:1" x14ac:dyDescent="0.25">
      <c r="A408" s="403"/>
    </row>
    <row r="409" spans="1:1" x14ac:dyDescent="0.25">
      <c r="A409" s="403"/>
    </row>
    <row r="410" spans="1:1" x14ac:dyDescent="0.25">
      <c r="A410" s="403"/>
    </row>
    <row r="411" spans="1:1" x14ac:dyDescent="0.25">
      <c r="A411" s="403"/>
    </row>
    <row r="412" spans="1:1" x14ac:dyDescent="0.25">
      <c r="A412" s="403"/>
    </row>
    <row r="413" spans="1:1" x14ac:dyDescent="0.25">
      <c r="A413" s="403"/>
    </row>
    <row r="414" spans="1:1" x14ac:dyDescent="0.25">
      <c r="A414" s="403"/>
    </row>
    <row r="415" spans="1:1" x14ac:dyDescent="0.25">
      <c r="A415" s="403"/>
    </row>
    <row r="416" spans="1:1" x14ac:dyDescent="0.25">
      <c r="A416" s="403"/>
    </row>
    <row r="417" spans="1:1" x14ac:dyDescent="0.25">
      <c r="A417" s="403"/>
    </row>
    <row r="418" spans="1:1" x14ac:dyDescent="0.25">
      <c r="A418" s="403"/>
    </row>
    <row r="419" spans="1:1" x14ac:dyDescent="0.25">
      <c r="A419" s="403"/>
    </row>
    <row r="420" spans="1:1" x14ac:dyDescent="0.25">
      <c r="A420" s="403"/>
    </row>
    <row r="421" spans="1:1" x14ac:dyDescent="0.25">
      <c r="A421" s="403"/>
    </row>
    <row r="422" spans="1:1" x14ac:dyDescent="0.25">
      <c r="A422" s="403"/>
    </row>
    <row r="423" spans="1:1" x14ac:dyDescent="0.25">
      <c r="A423" s="403"/>
    </row>
    <row r="424" spans="1:1" x14ac:dyDescent="0.25">
      <c r="A424" s="403"/>
    </row>
    <row r="425" spans="1:1" x14ac:dyDescent="0.25">
      <c r="A425" s="403"/>
    </row>
    <row r="426" spans="1:1" x14ac:dyDescent="0.25">
      <c r="A426" s="403"/>
    </row>
    <row r="427" spans="1:1" x14ac:dyDescent="0.25">
      <c r="A427" s="403"/>
    </row>
    <row r="428" spans="1:1" x14ac:dyDescent="0.25">
      <c r="A428" s="403"/>
    </row>
    <row r="429" spans="1:1" x14ac:dyDescent="0.25">
      <c r="A429" s="403"/>
    </row>
    <row r="430" spans="1:1" x14ac:dyDescent="0.25">
      <c r="A430" s="403"/>
    </row>
    <row r="431" spans="1:1" x14ac:dyDescent="0.25">
      <c r="A431" s="403"/>
    </row>
    <row r="432" spans="1:1" x14ac:dyDescent="0.25">
      <c r="A432" s="403"/>
    </row>
    <row r="433" spans="1:1" x14ac:dyDescent="0.25">
      <c r="A433" s="403"/>
    </row>
    <row r="434" spans="1:1" x14ac:dyDescent="0.25">
      <c r="A434" s="403"/>
    </row>
    <row r="435" spans="1:1" x14ac:dyDescent="0.25">
      <c r="A435" s="403"/>
    </row>
    <row r="436" spans="1:1" x14ac:dyDescent="0.25">
      <c r="A436" s="403"/>
    </row>
    <row r="437" spans="1:1" x14ac:dyDescent="0.25">
      <c r="A437" s="403"/>
    </row>
    <row r="438" spans="1:1" x14ac:dyDescent="0.25">
      <c r="A438" s="403"/>
    </row>
    <row r="439" spans="1:1" x14ac:dyDescent="0.25">
      <c r="A439" s="403"/>
    </row>
    <row r="440" spans="1:1" x14ac:dyDescent="0.25">
      <c r="A440" s="403"/>
    </row>
    <row r="441" spans="1:1" x14ac:dyDescent="0.25">
      <c r="A441" s="403"/>
    </row>
    <row r="442" spans="1:1" x14ac:dyDescent="0.25">
      <c r="A442" s="403"/>
    </row>
    <row r="443" spans="1:1" x14ac:dyDescent="0.25">
      <c r="A443" s="403"/>
    </row>
    <row r="444" spans="1:1" x14ac:dyDescent="0.25">
      <c r="A444" s="403"/>
    </row>
    <row r="445" spans="1:1" x14ac:dyDescent="0.25">
      <c r="A445" s="403"/>
    </row>
    <row r="446" spans="1:1" x14ac:dyDescent="0.25">
      <c r="A446" s="403"/>
    </row>
    <row r="447" spans="1:1" x14ac:dyDescent="0.25">
      <c r="A447" s="403"/>
    </row>
    <row r="448" spans="1:1" x14ac:dyDescent="0.25">
      <c r="A448" s="403"/>
    </row>
    <row r="449" spans="1:1" x14ac:dyDescent="0.25">
      <c r="A449" s="403"/>
    </row>
    <row r="450" spans="1:1" x14ac:dyDescent="0.25">
      <c r="A450" s="403"/>
    </row>
    <row r="451" spans="1:1" x14ac:dyDescent="0.25">
      <c r="A451" s="403"/>
    </row>
    <row r="452" spans="1:1" x14ac:dyDescent="0.25">
      <c r="A452" s="403"/>
    </row>
    <row r="453" spans="1:1" x14ac:dyDescent="0.25">
      <c r="A453" s="403"/>
    </row>
    <row r="454" spans="1:1" x14ac:dyDescent="0.25">
      <c r="A454" s="403"/>
    </row>
    <row r="455" spans="1:1" x14ac:dyDescent="0.25">
      <c r="A455" s="403"/>
    </row>
    <row r="456" spans="1:1" x14ac:dyDescent="0.25">
      <c r="A456" s="403"/>
    </row>
    <row r="457" spans="1:1" x14ac:dyDescent="0.25">
      <c r="A457" s="403"/>
    </row>
    <row r="458" spans="1:1" x14ac:dyDescent="0.25">
      <c r="A458" s="403"/>
    </row>
    <row r="459" spans="1:1" x14ac:dyDescent="0.25">
      <c r="A459" s="403"/>
    </row>
    <row r="460" spans="1:1" x14ac:dyDescent="0.25">
      <c r="A460" s="403"/>
    </row>
    <row r="461" spans="1:1" x14ac:dyDescent="0.25">
      <c r="A461" s="403"/>
    </row>
    <row r="462" spans="1:1" x14ac:dyDescent="0.25">
      <c r="A462" s="403"/>
    </row>
    <row r="463" spans="1:1" x14ac:dyDescent="0.25">
      <c r="A463" s="403"/>
    </row>
    <row r="464" spans="1:1" x14ac:dyDescent="0.25">
      <c r="A464" s="403"/>
    </row>
    <row r="465" spans="1:1" x14ac:dyDescent="0.25">
      <c r="A465" s="403"/>
    </row>
    <row r="466" spans="1:1" x14ac:dyDescent="0.25">
      <c r="A466" s="403"/>
    </row>
    <row r="467" spans="1:1" x14ac:dyDescent="0.25">
      <c r="A467" s="403"/>
    </row>
    <row r="468" spans="1:1" x14ac:dyDescent="0.25">
      <c r="A468" s="403"/>
    </row>
    <row r="469" spans="1:1" x14ac:dyDescent="0.25">
      <c r="A469" s="403"/>
    </row>
    <row r="470" spans="1:1" x14ac:dyDescent="0.25">
      <c r="A470" s="403"/>
    </row>
    <row r="471" spans="1:1" x14ac:dyDescent="0.25">
      <c r="A471" s="403"/>
    </row>
    <row r="472" spans="1:1" x14ac:dyDescent="0.25">
      <c r="A472" s="403"/>
    </row>
    <row r="473" spans="1:1" x14ac:dyDescent="0.25">
      <c r="A473" s="403"/>
    </row>
    <row r="474" spans="1:1" x14ac:dyDescent="0.25">
      <c r="A474" s="403"/>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25" right="0.25" top="0.75" bottom="0.75" header="0.3" footer="0.3"/>
  <pageSetup paperSize="9" scale="65" orientation="landscape" r:id="rId1"/>
  <ignoredErrors>
    <ignoredError sqref="F22 H22 F27:H27 F35:H35 F44:H44 F57:H57 F69:H69 F75:H75 H13" formulaRange="1"/>
    <ignoredError sqref="I51 I22 I83" formula="1"/>
    <ignoredError sqref="E23"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zoomScale="90" zoomScaleNormal="90" workbookViewId="0">
      <pane ySplit="12" topLeftCell="A68" activePane="bottomLeft" state="frozen"/>
      <selection pane="bottomLeft" activeCell="D70" sqref="D70"/>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609</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202" t="s">
        <v>187</v>
      </c>
      <c r="B8" s="1202"/>
      <c r="C8" s="1202"/>
      <c r="D8" s="1202"/>
      <c r="E8" s="1202"/>
      <c r="F8" s="1202"/>
      <c r="G8" s="1202"/>
    </row>
    <row r="9" spans="1:24" x14ac:dyDescent="0.25">
      <c r="A9" s="1202" t="s">
        <v>615</v>
      </c>
      <c r="B9" s="1202"/>
      <c r="C9" s="1202"/>
      <c r="D9" s="1202"/>
      <c r="E9" s="1202"/>
      <c r="F9" s="1202"/>
      <c r="G9" s="1202"/>
    </row>
    <row r="10" spans="1:24" x14ac:dyDescent="0.25">
      <c r="A10" s="413"/>
      <c r="B10" s="414"/>
      <c r="E10" s="415"/>
      <c r="F10" s="416"/>
      <c r="G10" s="341"/>
    </row>
    <row r="11" spans="1:24" s="126" customFormat="1" x14ac:dyDescent="0.25">
      <c r="A11" s="1162" t="s">
        <v>26</v>
      </c>
      <c r="B11" s="1163" t="s">
        <v>188</v>
      </c>
      <c r="C11" s="1203" t="s">
        <v>189</v>
      </c>
      <c r="D11" s="1203"/>
      <c r="E11" s="1163" t="s">
        <v>190</v>
      </c>
      <c r="F11" s="1164" t="s">
        <v>191</v>
      </c>
      <c r="G11" s="1163"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62"/>
      <c r="B12" s="1163"/>
      <c r="C12" s="380" t="s">
        <v>193</v>
      </c>
      <c r="D12" s="380" t="s">
        <v>194</v>
      </c>
      <c r="E12" s="1163"/>
      <c r="F12" s="1164"/>
      <c r="G12" s="1163"/>
      <c r="H12" s="319"/>
      <c r="I12" s="124"/>
      <c r="J12" s="124"/>
      <c r="K12" s="124"/>
      <c r="L12" s="124"/>
      <c r="M12" s="124"/>
      <c r="N12" s="124"/>
      <c r="O12" s="124"/>
      <c r="P12" s="124"/>
      <c r="Q12" s="124"/>
      <c r="R12" s="124"/>
      <c r="S12" s="124"/>
      <c r="T12" s="124"/>
      <c r="U12" s="124"/>
      <c r="V12" s="124"/>
      <c r="W12" s="124"/>
      <c r="X12" s="124"/>
    </row>
    <row r="13" spans="1:24" s="126" customFormat="1" x14ac:dyDescent="0.25">
      <c r="A13" s="406" t="s">
        <v>28</v>
      </c>
      <c r="B13" s="407">
        <v>2</v>
      </c>
      <c r="C13" s="379" t="s">
        <v>103</v>
      </c>
      <c r="D13" s="380">
        <v>4</v>
      </c>
      <c r="E13" s="406" t="s">
        <v>155</v>
      </c>
      <c r="F13" s="408">
        <v>6</v>
      </c>
      <c r="G13" s="406" t="s">
        <v>29</v>
      </c>
      <c r="H13" s="319"/>
      <c r="I13" s="124"/>
      <c r="J13" s="124"/>
      <c r="K13" s="124"/>
      <c r="L13" s="124"/>
      <c r="M13" s="124"/>
      <c r="N13" s="124"/>
      <c r="O13" s="124"/>
      <c r="P13" s="124"/>
      <c r="Q13" s="124"/>
      <c r="R13" s="124"/>
      <c r="S13" s="124"/>
      <c r="T13" s="124"/>
      <c r="U13" s="124"/>
      <c r="V13" s="124"/>
      <c r="W13" s="124"/>
      <c r="X13" s="124"/>
    </row>
    <row r="14" spans="1:24" x14ac:dyDescent="0.25">
      <c r="A14" s="190">
        <v>1</v>
      </c>
      <c r="B14" s="1165" t="s">
        <v>48</v>
      </c>
      <c r="C14" s="1165"/>
      <c r="D14" s="1165"/>
      <c r="E14" s="1165"/>
      <c r="F14" s="1165"/>
      <c r="G14" s="1165"/>
    </row>
    <row r="15" spans="1:24" x14ac:dyDescent="0.25">
      <c r="A15" s="197" t="s">
        <v>46</v>
      </c>
      <c r="B15" s="1150" t="s">
        <v>195</v>
      </c>
      <c r="C15" s="1151"/>
      <c r="D15" s="1151"/>
      <c r="E15" s="1151"/>
      <c r="F15" s="1151"/>
      <c r="G15" s="1151"/>
    </row>
    <row r="16" spans="1:24" s="341" customFormat="1" x14ac:dyDescent="0.25">
      <c r="A16" s="409"/>
      <c r="B16" s="404" t="s">
        <v>196</v>
      </c>
      <c r="C16" s="346">
        <f>'звіт І кв'!E14</f>
        <v>12076.45</v>
      </c>
      <c r="D16" s="346">
        <f>'звіт І кв'!I14</f>
        <v>1620.15</v>
      </c>
      <c r="E16" s="223">
        <f>D16-C16</f>
        <v>-10456.300000000001</v>
      </c>
      <c r="F16" s="143">
        <f>D16/C16*100</f>
        <v>13.415780299674159</v>
      </c>
      <c r="G16" s="442" t="s">
        <v>400</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409"/>
      <c r="B17" s="342" t="s">
        <v>197</v>
      </c>
      <c r="C17" s="332">
        <v>24000</v>
      </c>
      <c r="D17" s="332">
        <v>7053</v>
      </c>
      <c r="E17" s="332">
        <f>D17-C17</f>
        <v>-16947</v>
      </c>
      <c r="F17" s="332">
        <f>D17/C17*100</f>
        <v>29.387499999999999</v>
      </c>
      <c r="G17" s="442" t="s">
        <v>400</v>
      </c>
      <c r="H17" s="538">
        <f>D17+D22+D27</f>
        <v>13519</v>
      </c>
      <c r="I17" s="289"/>
      <c r="J17" s="289"/>
      <c r="K17" s="289"/>
      <c r="L17" s="289"/>
      <c r="M17" s="289"/>
      <c r="N17" s="289"/>
      <c r="O17" s="289"/>
      <c r="P17" s="289"/>
      <c r="Q17" s="289"/>
      <c r="R17" s="289"/>
      <c r="S17" s="289"/>
      <c r="T17" s="289"/>
      <c r="U17" s="289"/>
      <c r="V17" s="289"/>
      <c r="W17" s="289"/>
      <c r="X17" s="289"/>
    </row>
    <row r="18" spans="1:24" s="341" customFormat="1" ht="47.25" x14ac:dyDescent="0.25">
      <c r="A18" s="409"/>
      <c r="B18" s="342" t="s">
        <v>198</v>
      </c>
      <c r="C18" s="330">
        <f>C16/C17</f>
        <v>0.50318541666666672</v>
      </c>
      <c r="D18" s="330">
        <f>D16/D17</f>
        <v>0.22971076137813698</v>
      </c>
      <c r="E18" s="391">
        <f>D18-C18</f>
        <v>-0.27347465528852977</v>
      </c>
      <c r="F18" s="332">
        <f>D18/C18*100</f>
        <v>45.651315354059243</v>
      </c>
      <c r="G18" s="442" t="s">
        <v>400</v>
      </c>
      <c r="H18" s="340"/>
      <c r="I18" s="289"/>
      <c r="J18" s="289"/>
      <c r="K18" s="289"/>
      <c r="L18" s="289"/>
      <c r="M18" s="289"/>
      <c r="N18" s="289"/>
      <c r="O18" s="289"/>
      <c r="P18" s="289"/>
      <c r="Q18" s="289"/>
      <c r="R18" s="289"/>
      <c r="S18" s="289"/>
      <c r="T18" s="289"/>
      <c r="U18" s="289"/>
      <c r="V18" s="289"/>
      <c r="W18" s="289"/>
      <c r="X18" s="289"/>
    </row>
    <row r="19" spans="1:24" s="341" customFormat="1" ht="63" x14ac:dyDescent="0.25">
      <c r="A19" s="409"/>
      <c r="B19" s="342" t="s">
        <v>199</v>
      </c>
      <c r="C19" s="391">
        <v>69.364161849710982</v>
      </c>
      <c r="D19" s="391">
        <f>D17/34600*100</f>
        <v>20.384393063583815</v>
      </c>
      <c r="E19" s="391">
        <f>D19-C19</f>
        <v>-48.979768786127167</v>
      </c>
      <c r="F19" s="351">
        <f>D19/C19*100</f>
        <v>29.387499999999999</v>
      </c>
      <c r="G19" s="442" t="s">
        <v>400</v>
      </c>
      <c r="H19" s="340"/>
      <c r="I19" s="289"/>
      <c r="J19" s="289"/>
      <c r="K19" s="289"/>
      <c r="L19" s="289"/>
      <c r="M19" s="289"/>
      <c r="N19" s="289"/>
      <c r="O19" s="289"/>
      <c r="P19" s="289"/>
      <c r="Q19" s="289"/>
      <c r="R19" s="289"/>
      <c r="S19" s="289"/>
      <c r="T19" s="289"/>
      <c r="U19" s="289"/>
      <c r="V19" s="289"/>
      <c r="W19" s="289"/>
      <c r="X19" s="289"/>
    </row>
    <row r="20" spans="1:24" s="341" customFormat="1" x14ac:dyDescent="0.25">
      <c r="A20" s="137"/>
      <c r="B20" s="1196" t="s">
        <v>200</v>
      </c>
      <c r="C20" s="1197"/>
      <c r="D20" s="1197"/>
      <c r="E20" s="1197"/>
      <c r="F20" s="1197"/>
      <c r="G20" s="1197"/>
      <c r="H20" s="340"/>
      <c r="I20" s="289"/>
      <c r="J20" s="289"/>
      <c r="K20" s="289"/>
      <c r="L20" s="289"/>
      <c r="M20" s="289"/>
      <c r="N20" s="289"/>
      <c r="O20" s="289"/>
      <c r="P20" s="289"/>
      <c r="Q20" s="289"/>
      <c r="R20" s="289"/>
      <c r="S20" s="289"/>
      <c r="T20" s="289"/>
      <c r="U20" s="289"/>
      <c r="V20" s="289"/>
      <c r="W20" s="289"/>
      <c r="X20" s="289"/>
    </row>
    <row r="21" spans="1:24" s="341" customFormat="1" x14ac:dyDescent="0.25">
      <c r="A21" s="137"/>
      <c r="B21" s="337" t="s">
        <v>196</v>
      </c>
      <c r="C21" s="346">
        <f>'звіт І кв'!H15</f>
        <v>6662.29</v>
      </c>
      <c r="D21" s="346">
        <f>'звіт І кв'!I15</f>
        <v>3117.7003500000001</v>
      </c>
      <c r="E21" s="346">
        <f>D21-C21</f>
        <v>-3544.5896499999999</v>
      </c>
      <c r="F21" s="339">
        <f>D21/C21*100</f>
        <v>46.796226973007784</v>
      </c>
      <c r="G21" s="442" t="s">
        <v>400</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137"/>
      <c r="B22" s="342" t="s">
        <v>201</v>
      </c>
      <c r="C22" s="332">
        <v>17700</v>
      </c>
      <c r="D22" s="332">
        <v>4173</v>
      </c>
      <c r="E22" s="332">
        <f>D22-C22</f>
        <v>-13527</v>
      </c>
      <c r="F22" s="339">
        <f>D22/C22*100</f>
        <v>23.576271186440678</v>
      </c>
      <c r="G22" s="442" t="s">
        <v>400</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137"/>
      <c r="B23" s="342" t="s">
        <v>202</v>
      </c>
      <c r="C23" s="391">
        <f>C21/C22</f>
        <v>0.37640056497175139</v>
      </c>
      <c r="D23" s="391">
        <f>D21/D22</f>
        <v>0.74711247304097772</v>
      </c>
      <c r="E23" s="391">
        <f>D23-C23</f>
        <v>0.37071190806922633</v>
      </c>
      <c r="F23" s="339">
        <f>D23/C23*100</f>
        <v>198.48866940384323</v>
      </c>
      <c r="G23" s="442" t="s">
        <v>400</v>
      </c>
      <c r="H23" s="340"/>
      <c r="I23" s="289"/>
      <c r="J23" s="289"/>
      <c r="K23" s="289"/>
      <c r="L23" s="289"/>
      <c r="M23" s="289"/>
      <c r="N23" s="289"/>
      <c r="O23" s="289"/>
      <c r="P23" s="289"/>
      <c r="Q23" s="289"/>
      <c r="R23" s="289"/>
      <c r="S23" s="289"/>
      <c r="T23" s="289"/>
      <c r="U23" s="289"/>
      <c r="V23" s="289"/>
      <c r="W23" s="289"/>
      <c r="X23" s="289"/>
    </row>
    <row r="24" spans="1:24" s="341" customFormat="1" ht="63" x14ac:dyDescent="0.25">
      <c r="A24" s="137"/>
      <c r="B24" s="342" t="s">
        <v>203</v>
      </c>
      <c r="C24" s="330">
        <v>53.153153153153156</v>
      </c>
      <c r="D24" s="391">
        <f>D22/33300*100</f>
        <v>12.531531531531531</v>
      </c>
      <c r="E24" s="391">
        <f>D24-C24</f>
        <v>-40.621621621621628</v>
      </c>
      <c r="F24" s="339">
        <f>D24/C24*100</f>
        <v>23.576271186440675</v>
      </c>
      <c r="G24" s="442" t="s">
        <v>400</v>
      </c>
      <c r="H24" s="340"/>
      <c r="I24" s="289"/>
      <c r="J24" s="289"/>
      <c r="K24" s="289"/>
      <c r="L24" s="289"/>
      <c r="M24" s="289"/>
      <c r="N24" s="289"/>
      <c r="O24" s="289"/>
      <c r="P24" s="289"/>
      <c r="Q24" s="289"/>
      <c r="R24" s="289"/>
      <c r="S24" s="289"/>
      <c r="T24" s="289"/>
      <c r="U24" s="289"/>
      <c r="V24" s="289"/>
      <c r="W24" s="289"/>
      <c r="X24" s="289"/>
    </row>
    <row r="25" spans="1:24" s="341" customFormat="1" x14ac:dyDescent="0.25">
      <c r="A25" s="137"/>
      <c r="B25" s="1187" t="s">
        <v>52</v>
      </c>
      <c r="C25" s="1187"/>
      <c r="D25" s="1187"/>
      <c r="E25" s="1187"/>
      <c r="F25" s="1187"/>
      <c r="G25" s="1188"/>
      <c r="H25" s="340"/>
      <c r="I25" s="289"/>
      <c r="J25" s="289"/>
      <c r="K25" s="289"/>
      <c r="L25" s="289"/>
      <c r="M25" s="289"/>
      <c r="N25" s="289"/>
      <c r="O25" s="289"/>
      <c r="P25" s="289"/>
      <c r="Q25" s="289"/>
      <c r="R25" s="289"/>
      <c r="S25" s="289"/>
      <c r="T25" s="289"/>
      <c r="U25" s="289"/>
      <c r="V25" s="289"/>
      <c r="W25" s="289"/>
      <c r="X25" s="289"/>
    </row>
    <row r="26" spans="1:24" s="341" customFormat="1" x14ac:dyDescent="0.25">
      <c r="A26" s="137"/>
      <c r="B26" s="337" t="s">
        <v>196</v>
      </c>
      <c r="C26" s="346">
        <f>'звіт І кв'!E16</f>
        <v>4269.24</v>
      </c>
      <c r="D26" s="346">
        <f>'звіт І кв'!I16</f>
        <v>581.17999999999995</v>
      </c>
      <c r="E26" s="338">
        <f>D26-C26</f>
        <v>-3688.06</v>
      </c>
      <c r="F26" s="339">
        <f>D26/C26*100</f>
        <v>13.61319579128838</v>
      </c>
      <c r="G26" s="442" t="s">
        <v>400</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137"/>
      <c r="B27" s="337" t="s">
        <v>204</v>
      </c>
      <c r="C27" s="332">
        <v>6500</v>
      </c>
      <c r="D27" s="332">
        <v>2293</v>
      </c>
      <c r="E27" s="339">
        <f>D27-C27</f>
        <v>-4207</v>
      </c>
      <c r="F27" s="339">
        <f>D27/C27*100</f>
        <v>35.276923076923076</v>
      </c>
      <c r="G27" s="442" t="s">
        <v>400</v>
      </c>
      <c r="H27" s="340"/>
      <c r="I27" s="289"/>
      <c r="J27" s="289"/>
      <c r="K27" s="289"/>
      <c r="L27" s="289"/>
      <c r="M27" s="289"/>
      <c r="N27" s="289"/>
      <c r="O27" s="289"/>
      <c r="P27" s="289"/>
      <c r="Q27" s="289"/>
      <c r="R27" s="289"/>
      <c r="S27" s="289"/>
      <c r="T27" s="289"/>
      <c r="U27" s="289"/>
      <c r="V27" s="289"/>
      <c r="W27" s="289"/>
      <c r="X27" s="289"/>
    </row>
    <row r="28" spans="1:24" ht="47.25" x14ac:dyDescent="0.25">
      <c r="A28" s="137"/>
      <c r="B28" s="337" t="s">
        <v>205</v>
      </c>
      <c r="C28" s="513">
        <f>C26/C27</f>
        <v>0.65680615384615382</v>
      </c>
      <c r="D28" s="513">
        <f>D26/D27</f>
        <v>0.25345835150457913</v>
      </c>
      <c r="E28" s="411">
        <f>D28-C28</f>
        <v>-0.40334780234157469</v>
      </c>
      <c r="F28" s="339">
        <f>D28/C28*100</f>
        <v>38.589521431912104</v>
      </c>
      <c r="G28" s="442" t="s">
        <v>400</v>
      </c>
    </row>
    <row r="29" spans="1:24" ht="63" x14ac:dyDescent="0.25">
      <c r="A29" s="268"/>
      <c r="B29" s="337" t="s">
        <v>206</v>
      </c>
      <c r="C29" s="330">
        <v>61.479591836734691</v>
      </c>
      <c r="D29" s="391">
        <f>D27/10500*100</f>
        <v>21.838095238095239</v>
      </c>
      <c r="E29" s="514">
        <f>D29-C29</f>
        <v>-39.641496598639449</v>
      </c>
      <c r="F29" s="339">
        <f>D29/C29*100</f>
        <v>35.520885200553252</v>
      </c>
      <c r="G29" s="442" t="s">
        <v>400</v>
      </c>
    </row>
    <row r="30" spans="1:24" s="149" customFormat="1" x14ac:dyDescent="0.25">
      <c r="A30" s="225" t="s">
        <v>247</v>
      </c>
      <c r="B30" s="1193" t="s">
        <v>248</v>
      </c>
      <c r="C30" s="1194"/>
      <c r="D30" s="1187"/>
      <c r="E30" s="1187"/>
      <c r="F30" s="1187"/>
      <c r="G30" s="1188"/>
      <c r="H30" s="319"/>
      <c r="I30" s="124"/>
      <c r="J30" s="124"/>
      <c r="K30" s="124"/>
      <c r="L30" s="124"/>
      <c r="M30" s="124"/>
      <c r="N30" s="124"/>
      <c r="O30" s="124"/>
      <c r="P30" s="124"/>
      <c r="Q30" s="124"/>
      <c r="R30" s="124"/>
      <c r="S30" s="124"/>
      <c r="T30" s="124"/>
      <c r="U30" s="124"/>
      <c r="V30" s="124"/>
      <c r="W30" s="124"/>
      <c r="X30" s="124"/>
    </row>
    <row r="31" spans="1:24" s="341" customFormat="1" x14ac:dyDescent="0.25">
      <c r="A31" s="410"/>
      <c r="B31" s="347" t="s">
        <v>249</v>
      </c>
      <c r="C31" s="330">
        <f>'звіт І кв'!E17</f>
        <v>550</v>
      </c>
      <c r="D31" s="346">
        <f>'звіт І кв'!I17</f>
        <v>634.59699999999998</v>
      </c>
      <c r="E31" s="523">
        <f>D31-C31</f>
        <v>84.59699999999998</v>
      </c>
      <c r="F31" s="332">
        <f>D31/C31*100</f>
        <v>115.38127272727272</v>
      </c>
      <c r="G31" s="442" t="s">
        <v>400</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410"/>
      <c r="B32" s="349" t="s">
        <v>252</v>
      </c>
      <c r="C32" s="330">
        <v>50</v>
      </c>
      <c r="D32" s="391">
        <f>(D17+D22+D27)*100/78400</f>
        <v>17.243622448979593</v>
      </c>
      <c r="E32" s="391">
        <f>D32-C32</f>
        <v>-32.756377551020407</v>
      </c>
      <c r="F32" s="332">
        <f>D32/C32*100</f>
        <v>34.487244897959187</v>
      </c>
      <c r="G32" s="443" t="s">
        <v>583</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198" t="s">
        <v>54</v>
      </c>
      <c r="C33" s="1199"/>
      <c r="D33" s="1200"/>
      <c r="E33" s="1199"/>
      <c r="F33" s="1199"/>
      <c r="G33" s="1201"/>
      <c r="H33" s="340"/>
      <c r="I33" s="289"/>
      <c r="J33" s="289"/>
      <c r="K33" s="289"/>
      <c r="L33" s="289"/>
      <c r="M33" s="289"/>
      <c r="N33" s="289"/>
      <c r="O33" s="289"/>
      <c r="P33" s="289"/>
      <c r="Q33" s="289"/>
      <c r="R33" s="289"/>
      <c r="S33" s="289"/>
      <c r="T33" s="289"/>
      <c r="U33" s="289"/>
      <c r="V33" s="289"/>
      <c r="W33" s="289"/>
      <c r="X33" s="289"/>
    </row>
    <row r="34" spans="1:24" s="341" customFormat="1" ht="63" x14ac:dyDescent="0.25">
      <c r="A34" s="410"/>
      <c r="B34" s="349" t="s">
        <v>254</v>
      </c>
      <c r="C34" s="318">
        <v>4</v>
      </c>
      <c r="D34" s="351">
        <v>0</v>
      </c>
      <c r="E34" s="412">
        <f>D34-C34</f>
        <v>-4</v>
      </c>
      <c r="F34" s="332">
        <f>D34/C34*100</f>
        <v>0</v>
      </c>
      <c r="G34" s="442" t="s">
        <v>400</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410"/>
      <c r="B35" s="349" t="s">
        <v>584</v>
      </c>
      <c r="C35" s="330">
        <v>61</v>
      </c>
      <c r="D35" s="391">
        <f>(D17+D22+D27)/78400*100</f>
        <v>17.243622448979593</v>
      </c>
      <c r="E35" s="391">
        <f>D35-C35</f>
        <v>-43.756377551020407</v>
      </c>
      <c r="F35" s="332">
        <f>D35/C35*100</f>
        <v>28.26823352291737</v>
      </c>
      <c r="G35" s="442" t="s">
        <v>400</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93" t="s">
        <v>55</v>
      </c>
      <c r="C36" s="1194"/>
      <c r="D36" s="1194"/>
      <c r="E36" s="1194"/>
      <c r="F36" s="1194"/>
      <c r="G36" s="1195"/>
      <c r="H36" s="340"/>
      <c r="I36" s="289"/>
      <c r="J36" s="289"/>
      <c r="K36" s="289"/>
      <c r="L36" s="289"/>
      <c r="M36" s="289"/>
      <c r="N36" s="289"/>
      <c r="O36" s="289"/>
      <c r="P36" s="289"/>
      <c r="Q36" s="289"/>
      <c r="R36" s="289"/>
      <c r="S36" s="289"/>
      <c r="T36" s="289"/>
      <c r="U36" s="289"/>
      <c r="V36" s="289"/>
      <c r="W36" s="289"/>
      <c r="X36" s="289"/>
    </row>
    <row r="37" spans="1:24" s="341" customFormat="1" ht="31.5" x14ac:dyDescent="0.25">
      <c r="A37" s="158"/>
      <c r="B37" s="337" t="s">
        <v>196</v>
      </c>
      <c r="C37" s="346">
        <f>'звіт І кв'!E19</f>
        <v>1150</v>
      </c>
      <c r="D37" s="346">
        <f>'звіт І кв'!I19</f>
        <v>162.13999999999999</v>
      </c>
      <c r="E37" s="338">
        <f>D37-C37</f>
        <v>-987.86</v>
      </c>
      <c r="F37" s="339">
        <f>D37/C37*100</f>
        <v>14.099130434782609</v>
      </c>
      <c r="G37" s="326" t="s">
        <v>600</v>
      </c>
      <c r="H37" s="340"/>
      <c r="I37" s="289"/>
      <c r="J37" s="289"/>
      <c r="K37" s="289"/>
      <c r="L37" s="289"/>
      <c r="M37" s="289"/>
      <c r="N37" s="289"/>
      <c r="O37" s="289"/>
      <c r="P37" s="289"/>
      <c r="Q37" s="289"/>
      <c r="R37" s="289"/>
      <c r="S37" s="289"/>
      <c r="T37" s="289"/>
      <c r="U37" s="289"/>
      <c r="V37" s="289"/>
      <c r="W37" s="289"/>
      <c r="X37" s="289"/>
    </row>
    <row r="38" spans="1:24" ht="35.25" customHeight="1" x14ac:dyDescent="0.25">
      <c r="A38" s="137"/>
      <c r="B38" s="337" t="s">
        <v>207</v>
      </c>
      <c r="C38" s="336">
        <v>3</v>
      </c>
      <c r="D38" s="336">
        <v>2</v>
      </c>
      <c r="E38" s="339">
        <f>D38-C38</f>
        <v>-1</v>
      </c>
      <c r="F38" s="339">
        <f>D38/C38*100</f>
        <v>66.666666666666657</v>
      </c>
      <c r="G38" s="442" t="s">
        <v>400</v>
      </c>
    </row>
    <row r="39" spans="1:24" ht="36.75" customHeight="1" x14ac:dyDescent="0.25">
      <c r="A39" s="137"/>
      <c r="B39" s="337" t="s">
        <v>208</v>
      </c>
      <c r="C39" s="346">
        <f>C37/C38</f>
        <v>383.33333333333331</v>
      </c>
      <c r="D39" s="346">
        <f>D37/D38</f>
        <v>81.069999999999993</v>
      </c>
      <c r="E39" s="338">
        <f>D39-C39</f>
        <v>-302.26333333333332</v>
      </c>
      <c r="F39" s="339">
        <f>D39/C39*100</f>
        <v>21.148695652173913</v>
      </c>
      <c r="G39" s="326" t="s">
        <v>600</v>
      </c>
    </row>
    <row r="40" spans="1:24" ht="94.5" x14ac:dyDescent="0.25">
      <c r="A40" s="268"/>
      <c r="B40" s="337" t="s">
        <v>209</v>
      </c>
      <c r="C40" s="108">
        <v>45</v>
      </c>
      <c r="D40" s="346">
        <f>2573/78400*100</f>
        <v>3.2818877551020407</v>
      </c>
      <c r="E40" s="338">
        <f>D40-C40</f>
        <v>-41.718112244897959</v>
      </c>
      <c r="F40" s="339">
        <f>D40/C40*100</f>
        <v>7.2930839002267573</v>
      </c>
      <c r="G40" s="326" t="s">
        <v>665</v>
      </c>
    </row>
    <row r="41" spans="1:24" x14ac:dyDescent="0.25">
      <c r="A41" s="137" t="s">
        <v>256</v>
      </c>
      <c r="B41" s="1186" t="s">
        <v>56</v>
      </c>
      <c r="C41" s="1187"/>
      <c r="D41" s="1187"/>
      <c r="E41" s="1187"/>
      <c r="F41" s="1187"/>
      <c r="G41" s="1188"/>
    </row>
    <row r="42" spans="1:24" s="341" customFormat="1" ht="31.5" x14ac:dyDescent="0.25">
      <c r="A42" s="158"/>
      <c r="B42" s="353" t="s">
        <v>257</v>
      </c>
      <c r="C42" s="330">
        <f>'звіт І кв'!E20</f>
        <v>1950.8</v>
      </c>
      <c r="D42" s="354">
        <v>0</v>
      </c>
      <c r="E42" s="343">
        <f>D42-C42</f>
        <v>-1950.8</v>
      </c>
      <c r="F42" s="339">
        <f>D42/C42*100</f>
        <v>0</v>
      </c>
      <c r="G42" s="443" t="s">
        <v>652</v>
      </c>
      <c r="H42" s="355"/>
      <c r="I42" s="289"/>
      <c r="J42" s="289"/>
      <c r="K42" s="289"/>
      <c r="L42" s="289"/>
      <c r="M42" s="289"/>
      <c r="N42" s="289"/>
      <c r="O42" s="289"/>
      <c r="P42" s="289"/>
      <c r="Q42" s="289"/>
      <c r="R42" s="289"/>
      <c r="S42" s="289"/>
      <c r="T42" s="289"/>
      <c r="U42" s="289"/>
      <c r="V42" s="289"/>
      <c r="W42" s="289"/>
      <c r="X42" s="289"/>
    </row>
    <row r="43" spans="1:24" s="341" customFormat="1" ht="38.25" customHeight="1" x14ac:dyDescent="0.25">
      <c r="A43" s="137"/>
      <c r="B43" s="356" t="s">
        <v>258</v>
      </c>
      <c r="C43" s="318">
        <v>2430</v>
      </c>
      <c r="D43" s="444">
        <v>81</v>
      </c>
      <c r="E43" s="343">
        <f>D43-C43</f>
        <v>-2349</v>
      </c>
      <c r="F43" s="339">
        <f>D43/C43*100</f>
        <v>3.3333333333333335</v>
      </c>
      <c r="G43" s="442" t="s">
        <v>400</v>
      </c>
      <c r="H43" s="355"/>
      <c r="I43" s="289"/>
      <c r="J43" s="289"/>
      <c r="K43" s="289"/>
      <c r="L43" s="289"/>
      <c r="M43" s="289"/>
      <c r="N43" s="289"/>
      <c r="O43" s="289"/>
      <c r="P43" s="289"/>
      <c r="Q43" s="289"/>
      <c r="R43" s="289"/>
      <c r="S43" s="289"/>
      <c r="T43" s="289"/>
      <c r="U43" s="289"/>
      <c r="V43" s="289"/>
      <c r="W43" s="289"/>
      <c r="X43" s="289"/>
    </row>
    <row r="44" spans="1:24" s="341" customFormat="1" ht="47.25" x14ac:dyDescent="0.25">
      <c r="A44" s="137"/>
      <c r="B44" s="356" t="s">
        <v>259</v>
      </c>
      <c r="C44" s="330">
        <f>C42/C43</f>
        <v>0.80279835390946497</v>
      </c>
      <c r="D44" s="358">
        <f>16.94195/D43</f>
        <v>0.20915987654320986</v>
      </c>
      <c r="E44" s="514">
        <f>D44-C44</f>
        <v>-0.59363847736625508</v>
      </c>
      <c r="F44" s="339">
        <f>D44/C44*100</f>
        <v>26.053849702686076</v>
      </c>
      <c r="G44" s="326" t="s">
        <v>666</v>
      </c>
      <c r="H44" s="355"/>
      <c r="I44" s="289"/>
      <c r="J44" s="289"/>
      <c r="K44" s="289"/>
      <c r="L44" s="289"/>
      <c r="M44" s="289"/>
      <c r="N44" s="289"/>
      <c r="O44" s="289"/>
      <c r="P44" s="289"/>
      <c r="Q44" s="289"/>
      <c r="R44" s="289"/>
      <c r="S44" s="289"/>
      <c r="T44" s="289"/>
      <c r="U44" s="289"/>
      <c r="V44" s="289"/>
      <c r="W44" s="289"/>
      <c r="X44" s="289"/>
    </row>
    <row r="45" spans="1:24" s="341" customFormat="1" ht="63" x14ac:dyDescent="0.25">
      <c r="A45" s="268"/>
      <c r="B45" s="356" t="s">
        <v>414</v>
      </c>
      <c r="C45" s="330">
        <v>7.3</v>
      </c>
      <c r="D45" s="515">
        <f>D43/33300</f>
        <v>2.4324324324324323E-3</v>
      </c>
      <c r="E45" s="514">
        <f>D45-C45</f>
        <v>-7.2975675675675671</v>
      </c>
      <c r="F45" s="339">
        <f>D45/C45*100</f>
        <v>3.3320992225101813E-2</v>
      </c>
      <c r="G45" s="442" t="s">
        <v>400</v>
      </c>
      <c r="H45" s="355"/>
      <c r="I45" s="289"/>
      <c r="J45" s="289"/>
      <c r="K45" s="289"/>
      <c r="L45" s="289"/>
      <c r="M45" s="289"/>
      <c r="N45" s="289"/>
      <c r="O45" s="289"/>
      <c r="P45" s="289"/>
      <c r="Q45" s="289"/>
      <c r="R45" s="289"/>
      <c r="S45" s="289"/>
      <c r="T45" s="289"/>
      <c r="U45" s="289"/>
      <c r="V45" s="289"/>
      <c r="W45" s="289"/>
      <c r="X45" s="289"/>
    </row>
    <row r="46" spans="1:24" s="341" customFormat="1" ht="32.25" customHeight="1" x14ac:dyDescent="0.25">
      <c r="A46" s="410" t="s">
        <v>261</v>
      </c>
      <c r="B46" s="1186" t="s">
        <v>57</v>
      </c>
      <c r="C46" s="1187"/>
      <c r="D46" s="1187"/>
      <c r="E46" s="1187"/>
      <c r="F46" s="1187"/>
      <c r="G46" s="1188"/>
      <c r="H46" s="340"/>
      <c r="I46" s="289"/>
      <c r="J46" s="289"/>
      <c r="K46" s="289"/>
      <c r="L46" s="289"/>
      <c r="M46" s="289"/>
      <c r="N46" s="289"/>
      <c r="O46" s="289"/>
      <c r="P46" s="289"/>
      <c r="Q46" s="289"/>
      <c r="R46" s="289"/>
      <c r="S46" s="289"/>
      <c r="T46" s="289"/>
      <c r="U46" s="289"/>
      <c r="V46" s="289"/>
      <c r="W46" s="289"/>
      <c r="X46" s="289"/>
    </row>
    <row r="47" spans="1:24" s="341" customFormat="1" ht="31.5" x14ac:dyDescent="0.25">
      <c r="A47" s="158"/>
      <c r="B47" s="356" t="s">
        <v>257</v>
      </c>
      <c r="C47" s="330">
        <f>'звіт І кв'!E21</f>
        <v>635</v>
      </c>
      <c r="D47" s="391">
        <f>'звіт І кв'!I21</f>
        <v>41.8</v>
      </c>
      <c r="E47" s="343">
        <f>D47-C47</f>
        <v>-593.20000000000005</v>
      </c>
      <c r="F47" s="339">
        <f>D47/C47*100</f>
        <v>6.5826771653543306</v>
      </c>
      <c r="G47" s="442" t="s">
        <v>667</v>
      </c>
      <c r="H47" s="340"/>
      <c r="I47" s="289"/>
      <c r="J47" s="289"/>
      <c r="K47" s="289"/>
      <c r="L47" s="289"/>
      <c r="M47" s="289"/>
      <c r="N47" s="289"/>
      <c r="O47" s="289"/>
      <c r="P47" s="289"/>
      <c r="Q47" s="289"/>
      <c r="R47" s="289"/>
      <c r="S47" s="289"/>
      <c r="T47" s="289"/>
      <c r="U47" s="289"/>
      <c r="V47" s="289"/>
      <c r="W47" s="289"/>
      <c r="X47" s="289"/>
    </row>
    <row r="48" spans="1:24" s="341" customFormat="1" ht="78.75" x14ac:dyDescent="0.25">
      <c r="A48" s="137"/>
      <c r="B48" s="356" t="s">
        <v>262</v>
      </c>
      <c r="C48" s="318">
        <v>195</v>
      </c>
      <c r="D48" s="336">
        <v>16</v>
      </c>
      <c r="E48" s="343">
        <f>D48-C48</f>
        <v>-179</v>
      </c>
      <c r="F48" s="339">
        <f>D48/C48*100</f>
        <v>8.2051282051282044</v>
      </c>
      <c r="G48" s="326" t="s">
        <v>668</v>
      </c>
      <c r="H48" s="355"/>
      <c r="I48" s="289"/>
      <c r="J48" s="289"/>
      <c r="K48" s="289"/>
      <c r="L48" s="289"/>
      <c r="M48" s="289"/>
      <c r="N48" s="289"/>
      <c r="O48" s="289"/>
      <c r="P48" s="289"/>
      <c r="Q48" s="289"/>
      <c r="R48" s="289"/>
      <c r="S48" s="289"/>
      <c r="T48" s="289"/>
      <c r="U48" s="289"/>
      <c r="V48" s="289"/>
      <c r="W48" s="289"/>
      <c r="X48" s="289"/>
    </row>
    <row r="49" spans="1:24" s="341" customFormat="1" ht="51.75" customHeight="1" x14ac:dyDescent="0.25">
      <c r="A49" s="137"/>
      <c r="B49" s="356" t="s">
        <v>263</v>
      </c>
      <c r="C49" s="330">
        <f>C47/C48</f>
        <v>3.2564102564102564</v>
      </c>
      <c r="D49" s="391">
        <f>D47/D48</f>
        <v>2.6124999999999998</v>
      </c>
      <c r="E49" s="514">
        <f>D49-C49</f>
        <v>-0.64391025641025657</v>
      </c>
      <c r="F49" s="339">
        <f>D49/C49*100</f>
        <v>80.226377952755897</v>
      </c>
      <c r="G49" s="326" t="s">
        <v>601</v>
      </c>
      <c r="H49" s="340"/>
      <c r="I49" s="289"/>
      <c r="J49" s="289"/>
      <c r="K49" s="289"/>
      <c r="L49" s="289"/>
      <c r="M49" s="289"/>
      <c r="N49" s="289"/>
      <c r="O49" s="289"/>
      <c r="P49" s="289"/>
      <c r="Q49" s="289"/>
      <c r="R49" s="289"/>
      <c r="S49" s="289"/>
      <c r="T49" s="289"/>
      <c r="U49" s="289"/>
      <c r="V49" s="289"/>
      <c r="W49" s="289"/>
      <c r="X49" s="289"/>
    </row>
    <row r="50" spans="1:24" s="341" customFormat="1" ht="78.75" x14ac:dyDescent="0.25">
      <c r="A50" s="268"/>
      <c r="B50" s="356" t="s">
        <v>580</v>
      </c>
      <c r="C50" s="330">
        <v>65</v>
      </c>
      <c r="D50" s="391">
        <f>D48/57*100</f>
        <v>28.07017543859649</v>
      </c>
      <c r="E50" s="514">
        <f>D50-C50</f>
        <v>-36.929824561403507</v>
      </c>
      <c r="F50" s="339">
        <f>D50/C50*100</f>
        <v>43.184885290148443</v>
      </c>
      <c r="G50" s="442" t="s">
        <v>686</v>
      </c>
      <c r="H50" s="355"/>
      <c r="I50" s="289"/>
      <c r="J50" s="289"/>
      <c r="K50" s="289"/>
      <c r="L50" s="289"/>
      <c r="M50" s="289"/>
      <c r="N50" s="289"/>
      <c r="O50" s="289"/>
      <c r="P50" s="289"/>
      <c r="Q50" s="289"/>
      <c r="R50" s="289"/>
      <c r="S50" s="289"/>
      <c r="T50" s="289"/>
      <c r="U50" s="289"/>
      <c r="V50" s="289"/>
      <c r="W50" s="289"/>
      <c r="X50" s="289"/>
    </row>
    <row r="51" spans="1:24" s="341" customFormat="1" ht="36.75" customHeight="1" x14ac:dyDescent="0.25">
      <c r="A51" s="137" t="s">
        <v>265</v>
      </c>
      <c r="B51" s="1136" t="s">
        <v>415</v>
      </c>
      <c r="C51" s="1137"/>
      <c r="D51" s="1137"/>
      <c r="E51" s="1137"/>
      <c r="F51" s="1137"/>
      <c r="G51" s="1138"/>
      <c r="H51" s="340"/>
      <c r="I51" s="289"/>
      <c r="J51" s="289"/>
      <c r="K51" s="289"/>
      <c r="L51" s="289"/>
      <c r="M51" s="289"/>
      <c r="N51" s="289"/>
      <c r="O51" s="289"/>
      <c r="P51" s="289"/>
      <c r="Q51" s="289"/>
      <c r="R51" s="289"/>
      <c r="S51" s="289"/>
      <c r="T51" s="289"/>
      <c r="U51" s="289"/>
      <c r="V51" s="289"/>
      <c r="W51" s="289"/>
      <c r="X51" s="289"/>
    </row>
    <row r="52" spans="1:24" s="341" customFormat="1" x14ac:dyDescent="0.25">
      <c r="A52" s="158"/>
      <c r="B52" s="445" t="s">
        <v>196</v>
      </c>
      <c r="C52" s="330">
        <f>'звіт І кв'!E23</f>
        <v>0</v>
      </c>
      <c r="D52" s="108">
        <f>'звіт І кв'!L23</f>
        <v>0</v>
      </c>
      <c r="E52" s="191">
        <f>D52-C52</f>
        <v>0</v>
      </c>
      <c r="F52" s="192">
        <v>0</v>
      </c>
      <c r="G52" s="193" t="s">
        <v>400</v>
      </c>
      <c r="H52" s="361"/>
      <c r="I52" s="362"/>
      <c r="J52" s="289"/>
      <c r="K52" s="289"/>
      <c r="L52" s="289"/>
      <c r="M52" s="289"/>
      <c r="N52" s="289"/>
      <c r="O52" s="289"/>
      <c r="P52" s="289"/>
      <c r="Q52" s="289"/>
      <c r="R52" s="289"/>
      <c r="S52" s="289"/>
      <c r="T52" s="289"/>
      <c r="U52" s="289"/>
      <c r="V52" s="289"/>
      <c r="W52" s="289"/>
      <c r="X52" s="289"/>
    </row>
    <row r="53" spans="1:24" s="341" customFormat="1" ht="47.25" x14ac:dyDescent="0.25">
      <c r="A53" s="137"/>
      <c r="B53" s="267" t="s">
        <v>416</v>
      </c>
      <c r="C53" s="318">
        <v>5</v>
      </c>
      <c r="D53" s="318">
        <v>0</v>
      </c>
      <c r="E53" s="191">
        <f>D53-C53</f>
        <v>-5</v>
      </c>
      <c r="F53" s="191">
        <f>D53/C53*100</f>
        <v>0</v>
      </c>
      <c r="G53" s="193" t="s">
        <v>400</v>
      </c>
      <c r="H53" s="361"/>
      <c r="I53" s="362"/>
      <c r="J53" s="289"/>
      <c r="K53" s="289"/>
      <c r="L53" s="289"/>
      <c r="M53" s="289"/>
      <c r="N53" s="289"/>
      <c r="O53" s="289"/>
      <c r="P53" s="289"/>
      <c r="Q53" s="289"/>
      <c r="R53" s="289"/>
      <c r="S53" s="289"/>
      <c r="T53" s="289"/>
      <c r="U53" s="289"/>
      <c r="V53" s="289"/>
      <c r="W53" s="289"/>
      <c r="X53" s="289"/>
    </row>
    <row r="54" spans="1:24" s="341" customFormat="1" ht="31.5" x14ac:dyDescent="0.25">
      <c r="A54" s="137"/>
      <c r="B54" s="267" t="s">
        <v>417</v>
      </c>
      <c r="C54" s="330">
        <f>C52/C53</f>
        <v>0</v>
      </c>
      <c r="D54" s="330">
        <v>0</v>
      </c>
      <c r="E54" s="203">
        <f>D54-C54</f>
        <v>0</v>
      </c>
      <c r="F54" s="192">
        <v>0</v>
      </c>
      <c r="G54" s="193" t="s">
        <v>400</v>
      </c>
      <c r="H54" s="361"/>
      <c r="I54" s="362"/>
      <c r="J54" s="289"/>
      <c r="K54" s="289"/>
      <c r="L54" s="289"/>
      <c r="M54" s="289"/>
      <c r="N54" s="289"/>
      <c r="O54" s="289"/>
      <c r="P54" s="289"/>
      <c r="Q54" s="289"/>
      <c r="R54" s="289"/>
      <c r="S54" s="289"/>
      <c r="T54" s="289"/>
      <c r="U54" s="289"/>
      <c r="V54" s="289"/>
      <c r="W54" s="289"/>
      <c r="X54" s="289"/>
    </row>
    <row r="55" spans="1:24" s="341" customFormat="1" ht="47.25" x14ac:dyDescent="0.25">
      <c r="A55" s="137"/>
      <c r="B55" s="267" t="s">
        <v>418</v>
      </c>
      <c r="C55" s="318">
        <v>8</v>
      </c>
      <c r="D55" s="318">
        <v>0</v>
      </c>
      <c r="E55" s="191">
        <f>D55-C55</f>
        <v>-8</v>
      </c>
      <c r="F55" s="191">
        <f>D55/C55*100</f>
        <v>0</v>
      </c>
      <c r="G55" s="193" t="s">
        <v>400</v>
      </c>
      <c r="H55" s="361"/>
      <c r="I55" s="362"/>
      <c r="J55" s="289"/>
      <c r="K55" s="289"/>
      <c r="L55" s="289"/>
      <c r="M55" s="289"/>
      <c r="N55" s="289"/>
      <c r="O55" s="289"/>
      <c r="P55" s="289"/>
      <c r="Q55" s="289"/>
      <c r="R55" s="289"/>
      <c r="S55" s="289"/>
      <c r="T55" s="289"/>
      <c r="U55" s="289"/>
      <c r="V55" s="289"/>
      <c r="W55" s="289"/>
      <c r="X55" s="289"/>
    </row>
    <row r="56" spans="1:24" s="341" customFormat="1" x14ac:dyDescent="0.25">
      <c r="A56" s="137"/>
      <c r="B56" s="405"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x14ac:dyDescent="0.25">
      <c r="A57" s="344"/>
      <c r="B57" s="363" t="s">
        <v>420</v>
      </c>
      <c r="C57" s="108">
        <f>'звіт І кв'!E26</f>
        <v>3623.29</v>
      </c>
      <c r="D57" s="330">
        <f>'звіт І кв'!I26</f>
        <v>1641.6786299999999</v>
      </c>
      <c r="E57" s="108">
        <f t="shared" ref="E57:E63" si="0">D57-C57</f>
        <v>-1981.6113700000001</v>
      </c>
      <c r="F57" s="360">
        <f t="shared" ref="F57:F63" si="1">D57/C57*100</f>
        <v>45.309059721965397</v>
      </c>
      <c r="G57" s="193" t="s">
        <v>400</v>
      </c>
      <c r="H57" s="340"/>
      <c r="I57" s="362"/>
      <c r="J57" s="289"/>
      <c r="K57" s="289"/>
      <c r="L57" s="289"/>
      <c r="M57" s="289"/>
      <c r="N57" s="289"/>
      <c r="O57" s="289"/>
      <c r="P57" s="289"/>
      <c r="Q57" s="289"/>
      <c r="R57" s="289"/>
      <c r="S57" s="289"/>
      <c r="T57" s="289"/>
      <c r="U57" s="289"/>
      <c r="V57" s="289"/>
      <c r="W57" s="289"/>
      <c r="X57" s="289"/>
    </row>
    <row r="58" spans="1:24" s="341" customFormat="1" ht="31.5" x14ac:dyDescent="0.25">
      <c r="A58" s="344"/>
      <c r="B58" s="363" t="s">
        <v>421</v>
      </c>
      <c r="C58" s="318">
        <v>1650</v>
      </c>
      <c r="D58" s="191">
        <f>SUM(D59:D61)</f>
        <v>1128</v>
      </c>
      <c r="E58" s="108">
        <f t="shared" si="0"/>
        <v>-522</v>
      </c>
      <c r="F58" s="360">
        <f t="shared" si="1"/>
        <v>68.36363636363636</v>
      </c>
      <c r="G58" s="193" t="s">
        <v>400</v>
      </c>
      <c r="H58" s="355"/>
      <c r="I58" s="362"/>
      <c r="J58" s="289"/>
      <c r="K58" s="289"/>
      <c r="L58" s="289"/>
      <c r="M58" s="289"/>
      <c r="N58" s="289"/>
      <c r="O58" s="289"/>
      <c r="P58" s="289"/>
      <c r="Q58" s="289"/>
      <c r="R58" s="289"/>
      <c r="S58" s="289"/>
      <c r="T58" s="289"/>
      <c r="U58" s="289"/>
      <c r="V58" s="289"/>
      <c r="W58" s="289"/>
      <c r="X58" s="289"/>
    </row>
    <row r="59" spans="1:24" s="341" customFormat="1" ht="31.5" x14ac:dyDescent="0.25">
      <c r="A59" s="344"/>
      <c r="B59" s="363" t="s">
        <v>422</v>
      </c>
      <c r="C59" s="318">
        <v>1400</v>
      </c>
      <c r="D59" s="191">
        <f>311+156+226</f>
        <v>693</v>
      </c>
      <c r="E59" s="318">
        <f t="shared" si="0"/>
        <v>-707</v>
      </c>
      <c r="F59" s="360">
        <f t="shared" si="1"/>
        <v>49.5</v>
      </c>
      <c r="G59" s="193" t="s">
        <v>400</v>
      </c>
      <c r="H59" s="355"/>
      <c r="I59" s="362"/>
      <c r="J59" s="289"/>
      <c r="K59" s="289"/>
      <c r="L59" s="289"/>
      <c r="M59" s="289"/>
      <c r="N59" s="289"/>
      <c r="O59" s="289"/>
      <c r="P59" s="289"/>
      <c r="Q59" s="289"/>
      <c r="R59" s="289"/>
      <c r="S59" s="289"/>
      <c r="T59" s="289"/>
      <c r="U59" s="289"/>
      <c r="V59" s="289"/>
      <c r="W59" s="289"/>
      <c r="X59" s="289"/>
    </row>
    <row r="60" spans="1:24" s="341" customFormat="1" ht="94.5" x14ac:dyDescent="0.25">
      <c r="A60" s="344"/>
      <c r="B60" s="363" t="s">
        <v>423</v>
      </c>
      <c r="C60" s="318">
        <v>0</v>
      </c>
      <c r="D60" s="191">
        <f>3+432</f>
        <v>435</v>
      </c>
      <c r="E60" s="524">
        <f t="shared" si="0"/>
        <v>435</v>
      </c>
      <c r="F60" s="360">
        <v>435</v>
      </c>
      <c r="G60" s="325" t="s">
        <v>669</v>
      </c>
      <c r="H60" s="355"/>
      <c r="I60" s="362"/>
      <c r="J60" s="289"/>
      <c r="K60" s="289"/>
      <c r="L60" s="289"/>
      <c r="M60" s="289"/>
      <c r="N60" s="289"/>
      <c r="O60" s="289"/>
      <c r="P60" s="289"/>
      <c r="Q60" s="289"/>
      <c r="R60" s="289"/>
      <c r="S60" s="289"/>
      <c r="T60" s="289"/>
      <c r="U60" s="289"/>
      <c r="V60" s="289"/>
      <c r="W60" s="289"/>
      <c r="X60" s="289"/>
    </row>
    <row r="61" spans="1:24" s="341" customFormat="1" ht="94.5" x14ac:dyDescent="0.25">
      <c r="A61" s="344"/>
      <c r="B61" s="363" t="s">
        <v>424</v>
      </c>
      <c r="C61" s="318">
        <v>250</v>
      </c>
      <c r="D61" s="191">
        <v>0</v>
      </c>
      <c r="E61" s="318">
        <f t="shared" si="0"/>
        <v>-250</v>
      </c>
      <c r="F61" s="360">
        <f t="shared" si="1"/>
        <v>0</v>
      </c>
      <c r="G61" s="193" t="s">
        <v>687</v>
      </c>
      <c r="H61" s="355"/>
      <c r="I61" s="362"/>
      <c r="J61" s="289"/>
      <c r="K61" s="289"/>
      <c r="L61" s="289"/>
      <c r="M61" s="289"/>
      <c r="N61" s="289"/>
      <c r="O61" s="289"/>
      <c r="P61" s="289"/>
      <c r="Q61" s="289"/>
      <c r="R61" s="289"/>
      <c r="S61" s="289"/>
      <c r="T61" s="289"/>
      <c r="U61" s="289"/>
      <c r="V61" s="289"/>
      <c r="W61" s="289"/>
      <c r="X61" s="289"/>
    </row>
    <row r="62" spans="1:24" ht="31.5" x14ac:dyDescent="0.25">
      <c r="A62" s="137"/>
      <c r="B62" s="267" t="s">
        <v>425</v>
      </c>
      <c r="C62" s="330">
        <f>C57/C58</f>
        <v>2.1959333333333335</v>
      </c>
      <c r="D62" s="203">
        <f>D57/D58</f>
        <v>1.4553888563829787</v>
      </c>
      <c r="E62" s="203">
        <f t="shared" si="0"/>
        <v>-0.74054447695035486</v>
      </c>
      <c r="F62" s="192">
        <f t="shared" si="1"/>
        <v>66.276550125215323</v>
      </c>
      <c r="G62" s="193" t="s">
        <v>400</v>
      </c>
      <c r="I62" s="265"/>
    </row>
    <row r="63" spans="1:24" s="341" customFormat="1" ht="78.75" x14ac:dyDescent="0.25">
      <c r="A63" s="359"/>
      <c r="B63" s="363" t="s">
        <v>426</v>
      </c>
      <c r="C63" s="330">
        <v>35</v>
      </c>
      <c r="D63" s="203">
        <f>D58/5811*100</f>
        <v>19.411461022199276</v>
      </c>
      <c r="E63" s="330">
        <f t="shared" si="0"/>
        <v>-15.588538977800724</v>
      </c>
      <c r="F63" s="360">
        <f t="shared" si="1"/>
        <v>55.461317206283645</v>
      </c>
      <c r="G63" s="193" t="s">
        <v>400</v>
      </c>
      <c r="H63" s="355"/>
      <c r="I63" s="362"/>
      <c r="J63" s="289"/>
      <c r="K63" s="289"/>
      <c r="L63" s="289"/>
      <c r="M63" s="289"/>
      <c r="N63" s="289"/>
      <c r="O63" s="289"/>
      <c r="P63" s="289"/>
      <c r="Q63" s="289"/>
      <c r="R63" s="289"/>
      <c r="S63" s="289"/>
      <c r="T63" s="289"/>
      <c r="U63" s="289"/>
      <c r="V63" s="289"/>
      <c r="W63" s="289"/>
      <c r="X63" s="289"/>
    </row>
    <row r="64" spans="1:24" s="341" customFormat="1" x14ac:dyDescent="0.25">
      <c r="A64" s="344" t="s">
        <v>427</v>
      </c>
      <c r="B64" s="1186" t="s">
        <v>430</v>
      </c>
      <c r="C64" s="1187"/>
      <c r="D64" s="1187"/>
      <c r="E64" s="1187"/>
      <c r="F64" s="1187"/>
      <c r="G64" s="1188"/>
      <c r="H64" s="340"/>
      <c r="I64" s="289"/>
      <c r="J64" s="289"/>
      <c r="K64" s="289"/>
      <c r="L64" s="289"/>
      <c r="M64" s="289"/>
      <c r="N64" s="289"/>
      <c r="O64" s="289"/>
      <c r="P64" s="289"/>
      <c r="Q64" s="289"/>
      <c r="R64" s="289"/>
      <c r="S64" s="289"/>
      <c r="T64" s="289"/>
      <c r="U64" s="289"/>
      <c r="V64" s="289"/>
      <c r="W64" s="289"/>
      <c r="X64" s="289"/>
    </row>
    <row r="65" spans="1:24" s="341" customFormat="1" x14ac:dyDescent="0.25">
      <c r="A65" s="352"/>
      <c r="B65" s="353" t="s">
        <v>257</v>
      </c>
      <c r="C65" s="108">
        <f>'звіт І кв'!E27</f>
        <v>4838.03</v>
      </c>
      <c r="D65" s="346">
        <f>'звіт І кв'!I27</f>
        <v>462.19301999999999</v>
      </c>
      <c r="E65" s="364">
        <f>D65-C65</f>
        <v>-4375.83698</v>
      </c>
      <c r="F65" s="339">
        <f>D65/C65*100</f>
        <v>9.553331004561775</v>
      </c>
      <c r="G65" s="193" t="s">
        <v>400</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s="341" customFormat="1" ht="31.5" x14ac:dyDescent="0.25">
      <c r="A67" s="344"/>
      <c r="B67" s="356" t="s">
        <v>434</v>
      </c>
      <c r="C67" s="318">
        <v>37500</v>
      </c>
      <c r="D67" s="336">
        <v>9204</v>
      </c>
      <c r="E67" s="367">
        <f>D67-C67</f>
        <v>-28296</v>
      </c>
      <c r="F67" s="339">
        <f>D67/C67*100</f>
        <v>24.544</v>
      </c>
      <c r="G67" s="193" t="s">
        <v>400</v>
      </c>
      <c r="H67" s="361"/>
      <c r="I67" s="289"/>
      <c r="J67" s="289"/>
      <c r="K67" s="289"/>
      <c r="L67" s="289"/>
      <c r="M67" s="289"/>
      <c r="N67" s="289"/>
      <c r="O67" s="289"/>
      <c r="P67" s="289"/>
      <c r="Q67" s="289"/>
      <c r="R67" s="289"/>
      <c r="S67" s="289"/>
      <c r="T67" s="289"/>
      <c r="U67" s="289"/>
      <c r="V67" s="289"/>
      <c r="W67" s="289"/>
      <c r="X67" s="289"/>
    </row>
    <row r="68" spans="1:24" s="341" customFormat="1" ht="47.25" x14ac:dyDescent="0.25">
      <c r="A68" s="344"/>
      <c r="B68" s="345" t="s">
        <v>73</v>
      </c>
      <c r="C68" s="368"/>
      <c r="D68" s="368"/>
      <c r="E68" s="368"/>
      <c r="F68" s="368"/>
      <c r="G68" s="292"/>
      <c r="H68" s="340"/>
      <c r="I68" s="289"/>
      <c r="J68" s="289"/>
      <c r="K68" s="289"/>
      <c r="L68" s="289"/>
      <c r="M68" s="289"/>
      <c r="N68" s="289"/>
      <c r="O68" s="289"/>
      <c r="P68" s="289"/>
      <c r="Q68" s="289"/>
      <c r="R68" s="289"/>
      <c r="S68" s="289"/>
      <c r="T68" s="289"/>
      <c r="U68" s="289"/>
      <c r="V68" s="289"/>
      <c r="W68" s="289"/>
      <c r="X68" s="289"/>
    </row>
    <row r="69" spans="1:24" s="341" customFormat="1" ht="63" x14ac:dyDescent="0.25">
      <c r="A69" s="344"/>
      <c r="B69" s="369" t="s">
        <v>428</v>
      </c>
      <c r="C69" s="318">
        <v>300</v>
      </c>
      <c r="D69" s="336">
        <v>217</v>
      </c>
      <c r="E69" s="367">
        <f>D69-C69</f>
        <v>-83</v>
      </c>
      <c r="F69" s="339">
        <f>D69/C69*100</f>
        <v>72.333333333333343</v>
      </c>
      <c r="G69" s="193" t="s">
        <v>400</v>
      </c>
      <c r="H69" s="361"/>
      <c r="I69" s="289"/>
      <c r="J69" s="289"/>
      <c r="K69" s="289"/>
      <c r="L69" s="289"/>
      <c r="M69" s="289"/>
      <c r="N69" s="289"/>
      <c r="O69" s="289"/>
      <c r="P69" s="289"/>
      <c r="Q69" s="289"/>
      <c r="R69" s="289"/>
      <c r="S69" s="289"/>
      <c r="T69" s="289"/>
      <c r="U69" s="289"/>
      <c r="V69" s="289"/>
      <c r="W69" s="289"/>
      <c r="X69" s="289"/>
    </row>
    <row r="70" spans="1:24" ht="47.25" x14ac:dyDescent="0.25">
      <c r="A70" s="137"/>
      <c r="B70" s="269" t="s">
        <v>429</v>
      </c>
      <c r="C70" s="330">
        <v>5.72</v>
      </c>
      <c r="D70" s="391">
        <f>'звіт І кв'!K29/'показники І кв'!D69</f>
        <v>1.9741935483870967</v>
      </c>
      <c r="E70" s="417">
        <f>D70-C70</f>
        <v>-3.745806451612903</v>
      </c>
      <c r="F70" s="114">
        <f>D70/C70*100</f>
        <v>34.513873223550647</v>
      </c>
      <c r="G70" s="193" t="s">
        <v>670</v>
      </c>
    </row>
    <row r="71" spans="1:24" ht="47.25" x14ac:dyDescent="0.25">
      <c r="A71" s="137"/>
      <c r="B71" s="260" t="s">
        <v>74</v>
      </c>
      <c r="C71" s="368"/>
      <c r="D71" s="368"/>
      <c r="E71" s="275"/>
      <c r="F71" s="275"/>
      <c r="G71" s="261"/>
    </row>
    <row r="72" spans="1:24" s="341" customFormat="1" ht="78.75" x14ac:dyDescent="0.25">
      <c r="A72" s="344"/>
      <c r="B72" s="370" t="s">
        <v>431</v>
      </c>
      <c r="C72" s="318">
        <v>300</v>
      </c>
      <c r="D72" s="332">
        <v>331</v>
      </c>
      <c r="E72" s="525">
        <f>D72-C72</f>
        <v>31</v>
      </c>
      <c r="F72" s="332">
        <f>D72/C72*100</f>
        <v>110.33333333333333</v>
      </c>
      <c r="G72" s="326" t="s">
        <v>712</v>
      </c>
      <c r="H72" s="355"/>
      <c r="I72" s="289"/>
      <c r="J72" s="289"/>
      <c r="K72" s="289"/>
      <c r="L72" s="289"/>
      <c r="M72" s="289"/>
      <c r="N72" s="289"/>
      <c r="O72" s="289"/>
      <c r="P72" s="289"/>
      <c r="Q72" s="289"/>
      <c r="R72" s="289"/>
      <c r="S72" s="289"/>
      <c r="T72" s="289"/>
      <c r="U72" s="289"/>
      <c r="V72" s="289"/>
      <c r="W72" s="289"/>
      <c r="X72" s="289"/>
    </row>
    <row r="73" spans="1:24" s="341" customFormat="1" ht="236.25" x14ac:dyDescent="0.25">
      <c r="A73" s="359"/>
      <c r="B73" s="369" t="s">
        <v>579</v>
      </c>
      <c r="C73" s="318">
        <v>2.5</v>
      </c>
      <c r="D73" s="365" t="s">
        <v>653</v>
      </c>
      <c r="E73" s="412" t="s">
        <v>653</v>
      </c>
      <c r="F73" s="332" t="s">
        <v>653</v>
      </c>
      <c r="G73" s="122" t="s">
        <v>688</v>
      </c>
      <c r="H73" s="355"/>
      <c r="I73" s="289"/>
      <c r="J73" s="289"/>
      <c r="K73" s="289"/>
      <c r="L73" s="289"/>
      <c r="M73" s="289"/>
      <c r="N73" s="289"/>
      <c r="O73" s="289"/>
      <c r="P73" s="289"/>
      <c r="Q73" s="289"/>
      <c r="R73" s="289"/>
      <c r="S73" s="289"/>
      <c r="T73" s="289"/>
      <c r="U73" s="289"/>
      <c r="V73" s="289"/>
      <c r="W73" s="289"/>
      <c r="X73" s="289"/>
    </row>
    <row r="74" spans="1:24" ht="39" customHeight="1" x14ac:dyDescent="0.25">
      <c r="A74" s="137" t="s">
        <v>71</v>
      </c>
      <c r="B74" s="1170" t="s">
        <v>432</v>
      </c>
      <c r="C74" s="1171"/>
      <c r="D74" s="1171"/>
      <c r="E74" s="1171"/>
      <c r="F74" s="1171"/>
      <c r="G74" s="1172"/>
    </row>
    <row r="75" spans="1:24" s="341" customFormat="1" ht="31.5" x14ac:dyDescent="0.25">
      <c r="A75" s="352"/>
      <c r="B75" s="356" t="s">
        <v>249</v>
      </c>
      <c r="C75" s="330">
        <f>'звіт І кв'!E31</f>
        <v>300</v>
      </c>
      <c r="D75" s="365">
        <f>'звіт 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266" t="s">
        <v>436</v>
      </c>
      <c r="C76" s="318">
        <v>120</v>
      </c>
      <c r="D76" s="332">
        <v>0</v>
      </c>
      <c r="E76" s="236">
        <f>D76-C76</f>
        <v>-120</v>
      </c>
      <c r="F76" s="143">
        <f>D76/C76*100</f>
        <v>0</v>
      </c>
      <c r="G76" s="326" t="s">
        <v>689</v>
      </c>
    </row>
    <row r="77" spans="1:24" ht="31.5" x14ac:dyDescent="0.25">
      <c r="A77" s="137"/>
      <c r="B77" s="266" t="s">
        <v>293</v>
      </c>
      <c r="C77" s="330">
        <f>C75/C76</f>
        <v>2.5</v>
      </c>
      <c r="D77" s="365">
        <v>0</v>
      </c>
      <c r="E77" s="219">
        <f>D77-C77</f>
        <v>-2.5</v>
      </c>
      <c r="F77" s="143">
        <f>D77/C77*100</f>
        <v>0</v>
      </c>
      <c r="G77" s="326" t="s">
        <v>690</v>
      </c>
    </row>
    <row r="78" spans="1:24" ht="47.25" x14ac:dyDescent="0.25">
      <c r="A78" s="268"/>
      <c r="B78" s="266" t="s">
        <v>435</v>
      </c>
      <c r="C78" s="318">
        <v>80</v>
      </c>
      <c r="D78" s="365" t="s">
        <v>653</v>
      </c>
      <c r="E78" s="236" t="s">
        <v>653</v>
      </c>
      <c r="F78" s="143" t="s">
        <v>653</v>
      </c>
      <c r="G78" s="326" t="s">
        <v>690</v>
      </c>
    </row>
    <row r="79" spans="1:24" x14ac:dyDescent="0.25">
      <c r="A79" s="271" t="s">
        <v>78</v>
      </c>
      <c r="B79" s="1192" t="s">
        <v>77</v>
      </c>
      <c r="C79" s="1184"/>
      <c r="D79" s="1184"/>
      <c r="E79" s="1184"/>
      <c r="F79" s="1184"/>
      <c r="G79" s="1185"/>
    </row>
    <row r="80" spans="1:24" ht="23.25" customHeight="1" x14ac:dyDescent="0.25">
      <c r="A80" s="272" t="s">
        <v>296</v>
      </c>
      <c r="B80" s="1136" t="s">
        <v>433</v>
      </c>
      <c r="C80" s="1137"/>
      <c r="D80" s="1137"/>
      <c r="E80" s="1137"/>
      <c r="F80" s="1137"/>
      <c r="G80" s="1138"/>
    </row>
    <row r="81" spans="1:24" s="341" customFormat="1" x14ac:dyDescent="0.25">
      <c r="A81" s="371"/>
      <c r="B81" s="356" t="s">
        <v>439</v>
      </c>
      <c r="C81" s="108">
        <f>'звіт І кв'!E33</f>
        <v>6080.38</v>
      </c>
      <c r="D81" s="108">
        <f>'звіт І кв'!I33</f>
        <v>138.36407</v>
      </c>
      <c r="E81" s="108">
        <f>D81-C81</f>
        <v>-5942.0159300000005</v>
      </c>
      <c r="F81" s="360">
        <f>D81/C81*100</f>
        <v>2.2755826116130899</v>
      </c>
      <c r="G81" s="443" t="s">
        <v>659</v>
      </c>
      <c r="H81" s="340"/>
      <c r="I81" s="289"/>
      <c r="J81" s="289"/>
      <c r="K81" s="289"/>
      <c r="L81" s="289"/>
      <c r="M81" s="289"/>
      <c r="N81" s="289"/>
      <c r="O81" s="289"/>
      <c r="P81" s="289"/>
      <c r="Q81" s="289"/>
      <c r="R81" s="289"/>
      <c r="S81" s="289"/>
      <c r="T81" s="289"/>
      <c r="U81" s="289"/>
      <c r="V81" s="289"/>
      <c r="W81" s="289"/>
      <c r="X81" s="289"/>
    </row>
    <row r="82" spans="1:24" s="341" customFormat="1" ht="189" x14ac:dyDescent="0.25">
      <c r="A82" s="372"/>
      <c r="B82" s="369" t="s">
        <v>437</v>
      </c>
      <c r="C82" s="318">
        <v>140000</v>
      </c>
      <c r="D82" s="318">
        <v>86722</v>
      </c>
      <c r="E82" s="318">
        <f t="shared" ref="E82:E96" si="2">D82-C82</f>
        <v>-53278</v>
      </c>
      <c r="F82" s="360">
        <f t="shared" ref="F82:F96" si="3">D82/C82*100</f>
        <v>61.944285714285719</v>
      </c>
      <c r="G82" s="443" t="s">
        <v>654</v>
      </c>
      <c r="H82" s="355"/>
      <c r="I82" s="289"/>
      <c r="J82" s="289"/>
      <c r="K82" s="289"/>
      <c r="L82" s="289"/>
      <c r="M82" s="289"/>
      <c r="N82" s="289"/>
      <c r="O82" s="289"/>
      <c r="P82" s="289"/>
      <c r="Q82" s="289"/>
      <c r="R82" s="289"/>
      <c r="S82" s="289"/>
      <c r="T82" s="289"/>
      <c r="U82" s="289"/>
      <c r="V82" s="289"/>
      <c r="W82" s="289"/>
      <c r="X82" s="289"/>
    </row>
    <row r="83" spans="1:24" s="341" customFormat="1" ht="173.25" x14ac:dyDescent="0.25">
      <c r="A83" s="372"/>
      <c r="B83" s="373" t="s">
        <v>438</v>
      </c>
      <c r="C83" s="318">
        <v>3360</v>
      </c>
      <c r="D83" s="318">
        <v>1049</v>
      </c>
      <c r="E83" s="318">
        <f t="shared" si="2"/>
        <v>-2311</v>
      </c>
      <c r="F83" s="360">
        <f t="shared" si="3"/>
        <v>31.220238095238095</v>
      </c>
      <c r="G83" s="443" t="s">
        <v>671</v>
      </c>
      <c r="H83" s="355"/>
      <c r="I83" s="289"/>
      <c r="J83" s="289"/>
      <c r="K83" s="289"/>
      <c r="L83" s="289"/>
      <c r="M83" s="289"/>
      <c r="N83" s="289"/>
      <c r="O83" s="289"/>
      <c r="P83" s="289"/>
      <c r="Q83" s="289"/>
      <c r="R83" s="289"/>
      <c r="S83" s="289"/>
      <c r="T83" s="289"/>
      <c r="U83" s="289"/>
      <c r="V83" s="289"/>
      <c r="W83" s="289"/>
      <c r="X83" s="289"/>
    </row>
    <row r="84" spans="1:24" ht="31.5" x14ac:dyDescent="0.25">
      <c r="A84" s="274"/>
      <c r="B84" s="270" t="s">
        <v>440</v>
      </c>
      <c r="C84" s="330">
        <f>C81/C83</f>
        <v>1.8096369047619048</v>
      </c>
      <c r="D84" s="330">
        <f>3313.53/1983</f>
        <v>1.6709682299546142</v>
      </c>
      <c r="E84" s="203">
        <f t="shared" si="2"/>
        <v>-0.1386686748072905</v>
      </c>
      <c r="F84" s="192">
        <f t="shared" si="3"/>
        <v>92.337210053442448</v>
      </c>
      <c r="G84" s="122" t="s">
        <v>400</v>
      </c>
      <c r="H84" s="340"/>
    </row>
    <row r="85" spans="1:24" ht="94.5" x14ac:dyDescent="0.25">
      <c r="A85" s="274"/>
      <c r="B85" s="270" t="s">
        <v>441</v>
      </c>
      <c r="C85" s="330">
        <v>2.4</v>
      </c>
      <c r="D85" s="330">
        <f>D83/D82*100</f>
        <v>1.209612324439012</v>
      </c>
      <c r="E85" s="203">
        <f t="shared" si="2"/>
        <v>-1.1903876755609879</v>
      </c>
      <c r="F85" s="192">
        <f t="shared" si="3"/>
        <v>50.400513518292165</v>
      </c>
      <c r="G85" s="122" t="s">
        <v>655</v>
      </c>
      <c r="H85" s="355"/>
    </row>
    <row r="86" spans="1:24" ht="141.75" x14ac:dyDescent="0.25">
      <c r="A86" s="273"/>
      <c r="B86" s="270" t="s">
        <v>442</v>
      </c>
      <c r="C86" s="318">
        <v>73.7</v>
      </c>
      <c r="D86" s="147">
        <f>D120*100/23100</f>
        <v>56.731601731601735</v>
      </c>
      <c r="E86" s="147">
        <f t="shared" si="2"/>
        <v>-16.968398268398268</v>
      </c>
      <c r="F86" s="192">
        <f t="shared" si="3"/>
        <v>76.976393122933146</v>
      </c>
      <c r="G86" s="442" t="s">
        <v>672</v>
      </c>
      <c r="H86" s="355"/>
    </row>
    <row r="87" spans="1:24" s="198" customFormat="1" ht="31.5" customHeight="1" x14ac:dyDescent="0.25">
      <c r="A87" s="274" t="s">
        <v>297</v>
      </c>
      <c r="B87" s="1136" t="s">
        <v>443</v>
      </c>
      <c r="C87" s="1137"/>
      <c r="D87" s="1137"/>
      <c r="E87" s="1137"/>
      <c r="F87" s="1137"/>
      <c r="G87" s="1138"/>
      <c r="H87" s="319"/>
      <c r="I87" s="124"/>
      <c r="J87" s="124"/>
      <c r="K87" s="124"/>
      <c r="L87" s="124"/>
      <c r="M87" s="124"/>
      <c r="N87" s="124"/>
      <c r="O87" s="124"/>
      <c r="P87" s="124"/>
      <c r="Q87" s="124"/>
      <c r="R87" s="124"/>
      <c r="S87" s="124"/>
      <c r="T87" s="124"/>
      <c r="U87" s="124"/>
      <c r="V87" s="124"/>
      <c r="W87" s="124"/>
      <c r="X87" s="124"/>
    </row>
    <row r="88" spans="1:24" ht="31.5" x14ac:dyDescent="0.25">
      <c r="A88" s="272"/>
      <c r="B88" s="270" t="s">
        <v>444</v>
      </c>
      <c r="C88" s="318">
        <v>12</v>
      </c>
      <c r="D88" s="318">
        <v>0</v>
      </c>
      <c r="E88" s="191">
        <f t="shared" si="2"/>
        <v>-12</v>
      </c>
      <c r="F88" s="192">
        <f t="shared" si="3"/>
        <v>0</v>
      </c>
      <c r="G88" s="442" t="s">
        <v>400</v>
      </c>
      <c r="H88" s="355"/>
    </row>
    <row r="89" spans="1:24" s="341" customFormat="1" ht="63" x14ac:dyDescent="0.25">
      <c r="A89" s="374"/>
      <c r="B89" s="373" t="s">
        <v>445</v>
      </c>
      <c r="C89" s="318"/>
      <c r="D89" s="375">
        <v>0</v>
      </c>
      <c r="E89" s="318">
        <f t="shared" si="2"/>
        <v>0</v>
      </c>
      <c r="F89" s="318">
        <v>0</v>
      </c>
      <c r="G89" s="442" t="s">
        <v>691</v>
      </c>
      <c r="H89" s="355"/>
      <c r="I89" s="289"/>
      <c r="J89" s="289"/>
      <c r="K89" s="289"/>
      <c r="L89" s="289"/>
      <c r="M89" s="289"/>
      <c r="N89" s="289"/>
      <c r="O89" s="289"/>
      <c r="P89" s="289"/>
      <c r="Q89" s="289"/>
      <c r="R89" s="289"/>
      <c r="S89" s="289"/>
      <c r="T89" s="289"/>
      <c r="U89" s="289"/>
      <c r="V89" s="289"/>
      <c r="W89" s="289"/>
      <c r="X89" s="289"/>
    </row>
    <row r="90" spans="1:24" s="290" customFormat="1" x14ac:dyDescent="0.25">
      <c r="A90" s="372" t="s">
        <v>298</v>
      </c>
      <c r="B90" s="1186" t="s">
        <v>446</v>
      </c>
      <c r="C90" s="1187"/>
      <c r="D90" s="1187"/>
      <c r="E90" s="1187"/>
      <c r="F90" s="1187"/>
      <c r="G90" s="1188"/>
      <c r="H90" s="340"/>
      <c r="I90" s="289"/>
      <c r="J90" s="289"/>
      <c r="K90" s="289"/>
      <c r="L90" s="289"/>
      <c r="M90" s="289"/>
      <c r="N90" s="289"/>
      <c r="O90" s="289"/>
      <c r="P90" s="289"/>
      <c r="Q90" s="289"/>
      <c r="R90" s="289"/>
      <c r="S90" s="289"/>
      <c r="T90" s="289"/>
      <c r="U90" s="289"/>
      <c r="V90" s="289"/>
      <c r="W90" s="289"/>
      <c r="X90" s="289"/>
    </row>
    <row r="91" spans="1:24" s="341" customFormat="1" x14ac:dyDescent="0.25">
      <c r="A91" s="376"/>
      <c r="B91" s="353" t="s">
        <v>249</v>
      </c>
      <c r="C91" s="108">
        <f>'звіт І кв'!E35</f>
        <v>1111.3</v>
      </c>
      <c r="D91" s="108">
        <f>'звіт І кв'!I35</f>
        <v>888.58771000000002</v>
      </c>
      <c r="E91" s="108">
        <f t="shared" si="2"/>
        <v>-222.71228999999994</v>
      </c>
      <c r="F91" s="360">
        <f t="shared" si="3"/>
        <v>79.959300818860797</v>
      </c>
      <c r="G91" s="442" t="s">
        <v>400</v>
      </c>
      <c r="H91" s="340"/>
      <c r="I91" s="289"/>
      <c r="J91" s="289"/>
      <c r="K91" s="289"/>
      <c r="L91" s="289"/>
      <c r="M91" s="289"/>
      <c r="N91" s="289"/>
      <c r="O91" s="289"/>
      <c r="P91" s="289"/>
      <c r="Q91" s="289"/>
      <c r="R91" s="289"/>
      <c r="S91" s="289"/>
      <c r="T91" s="289"/>
      <c r="U91" s="289"/>
      <c r="V91" s="289"/>
      <c r="W91" s="289"/>
      <c r="X91" s="289"/>
    </row>
    <row r="92" spans="1:24" s="341" customFormat="1" ht="126" x14ac:dyDescent="0.25">
      <c r="A92" s="377"/>
      <c r="B92" s="356" t="s">
        <v>314</v>
      </c>
      <c r="C92" s="318">
        <v>4820</v>
      </c>
      <c r="D92" s="318">
        <v>184</v>
      </c>
      <c r="E92" s="318">
        <f t="shared" si="2"/>
        <v>-4636</v>
      </c>
      <c r="F92" s="360">
        <f t="shared" si="3"/>
        <v>3.8174273858921164</v>
      </c>
      <c r="G92" s="443" t="s">
        <v>656</v>
      </c>
      <c r="H92" s="355"/>
      <c r="I92" s="289"/>
      <c r="J92" s="289"/>
      <c r="K92" s="289"/>
      <c r="L92" s="289"/>
      <c r="M92" s="289"/>
      <c r="N92" s="289"/>
      <c r="O92" s="289"/>
      <c r="P92" s="289"/>
      <c r="Q92" s="289"/>
      <c r="R92" s="289"/>
      <c r="S92" s="289"/>
      <c r="T92" s="289"/>
      <c r="U92" s="289"/>
      <c r="V92" s="289"/>
      <c r="W92" s="289"/>
      <c r="X92" s="289"/>
    </row>
    <row r="93" spans="1:24" s="341" customFormat="1" ht="47.25" x14ac:dyDescent="0.25">
      <c r="A93" s="377"/>
      <c r="B93" s="353" t="s">
        <v>315</v>
      </c>
      <c r="C93" s="318">
        <v>0.23</v>
      </c>
      <c r="D93" s="330">
        <f>D91/D92</f>
        <v>4.8292810326086961</v>
      </c>
      <c r="E93" s="330">
        <f t="shared" si="2"/>
        <v>4.5992810326086957</v>
      </c>
      <c r="F93" s="360">
        <f t="shared" si="3"/>
        <v>2099.6874054820419</v>
      </c>
      <c r="G93" s="443" t="s">
        <v>692</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353" t="s">
        <v>316</v>
      </c>
      <c r="C94" s="331">
        <v>10</v>
      </c>
      <c r="D94" s="331">
        <f>D92/8864*100</f>
        <v>2.0758122743682312</v>
      </c>
      <c r="E94" s="331">
        <f t="shared" si="2"/>
        <v>-7.9241877256317688</v>
      </c>
      <c r="F94" s="360">
        <f t="shared" si="3"/>
        <v>20.758122743682311</v>
      </c>
      <c r="G94" s="442" t="s">
        <v>693</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86" t="s">
        <v>447</v>
      </c>
      <c r="C95" s="1187"/>
      <c r="D95" s="1187"/>
      <c r="E95" s="1187"/>
      <c r="F95" s="1187"/>
      <c r="G95" s="1188"/>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349" t="s">
        <v>317</v>
      </c>
      <c r="C96" s="318">
        <v>15</v>
      </c>
      <c r="D96" s="318">
        <v>0</v>
      </c>
      <c r="E96" s="318">
        <f t="shared" si="2"/>
        <v>-15</v>
      </c>
      <c r="F96" s="360">
        <f t="shared" si="3"/>
        <v>0</v>
      </c>
      <c r="G96" s="442"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349" t="s">
        <v>318</v>
      </c>
      <c r="C97" s="318" t="s">
        <v>653</v>
      </c>
      <c r="D97" s="318" t="s">
        <v>653</v>
      </c>
      <c r="E97" s="318" t="s">
        <v>653</v>
      </c>
      <c r="F97" s="318" t="s">
        <v>653</v>
      </c>
      <c r="G97" s="442" t="s">
        <v>694</v>
      </c>
      <c r="H97" s="355"/>
      <c r="I97" s="289"/>
      <c r="J97" s="289"/>
      <c r="K97" s="289"/>
      <c r="L97" s="289"/>
      <c r="M97" s="289"/>
      <c r="N97" s="289"/>
      <c r="O97" s="289"/>
      <c r="P97" s="289"/>
      <c r="Q97" s="289"/>
      <c r="R97" s="289"/>
      <c r="S97" s="289"/>
      <c r="T97" s="289"/>
      <c r="U97" s="289"/>
      <c r="V97" s="289"/>
      <c r="W97" s="289"/>
      <c r="X97" s="289"/>
    </row>
    <row r="98" spans="1:24" ht="20.25" customHeight="1" x14ac:dyDescent="0.25">
      <c r="A98" s="205" t="s">
        <v>306</v>
      </c>
      <c r="B98" s="1169" t="s">
        <v>448</v>
      </c>
      <c r="C98" s="1169"/>
      <c r="D98" s="1169"/>
      <c r="E98" s="1169"/>
      <c r="F98" s="1169"/>
      <c r="G98" s="1169"/>
    </row>
    <row r="99" spans="1:24" x14ac:dyDescent="0.25">
      <c r="A99" s="212"/>
      <c r="B99" s="446" t="s">
        <v>673</v>
      </c>
      <c r="C99" s="330">
        <f>C101+C106</f>
        <v>539</v>
      </c>
      <c r="D99" s="108">
        <f>'звіт І кв'!I40</f>
        <v>0</v>
      </c>
      <c r="E99" s="108">
        <f>D99-C99</f>
        <v>-539</v>
      </c>
      <c r="F99" s="360">
        <f>D99/C99*100</f>
        <v>0</v>
      </c>
      <c r="G99" s="518" t="s">
        <v>400</v>
      </c>
    </row>
    <row r="100" spans="1:24" x14ac:dyDescent="0.25">
      <c r="A100" s="209"/>
      <c r="B100" s="1188" t="s">
        <v>100</v>
      </c>
      <c r="C100" s="1189"/>
      <c r="D100" s="1189"/>
      <c r="E100" s="1189"/>
      <c r="F100" s="1189"/>
      <c r="G100" s="1189"/>
    </row>
    <row r="101" spans="1:24" s="341" customFormat="1" ht="47.25" x14ac:dyDescent="0.25">
      <c r="A101" s="381"/>
      <c r="B101" s="363" t="s">
        <v>449</v>
      </c>
      <c r="C101" s="330">
        <v>488</v>
      </c>
      <c r="D101" s="330">
        <f>'звіт І кв'!I41</f>
        <v>0</v>
      </c>
      <c r="E101" s="330">
        <f>D101-C101</f>
        <v>-488</v>
      </c>
      <c r="F101" s="360">
        <v>0</v>
      </c>
      <c r="G101" s="442" t="s">
        <v>695</v>
      </c>
      <c r="H101" s="340"/>
      <c r="I101" s="289"/>
      <c r="J101" s="289"/>
      <c r="K101" s="289"/>
      <c r="L101" s="289"/>
      <c r="M101" s="289"/>
      <c r="N101" s="289"/>
      <c r="O101" s="289"/>
      <c r="P101" s="289"/>
      <c r="Q101" s="289"/>
      <c r="R101" s="289"/>
      <c r="S101" s="289"/>
      <c r="T101" s="289"/>
      <c r="U101" s="289"/>
      <c r="V101" s="289"/>
      <c r="W101" s="289"/>
      <c r="X101" s="289"/>
    </row>
    <row r="102" spans="1:24" s="341" customFormat="1" ht="63" x14ac:dyDescent="0.25">
      <c r="A102" s="381"/>
      <c r="B102" s="363" t="s">
        <v>450</v>
      </c>
      <c r="C102" s="318">
        <v>400</v>
      </c>
      <c r="D102" s="318">
        <v>0</v>
      </c>
      <c r="E102" s="330">
        <f>D102-C102</f>
        <v>-400</v>
      </c>
      <c r="F102" s="360">
        <f>D102/C102*100</f>
        <v>0</v>
      </c>
      <c r="G102" s="442" t="s">
        <v>696</v>
      </c>
      <c r="H102" s="340"/>
      <c r="I102" s="289"/>
      <c r="J102" s="289"/>
      <c r="K102" s="289"/>
      <c r="L102" s="289"/>
      <c r="M102" s="289"/>
      <c r="N102" s="289"/>
      <c r="O102" s="289"/>
      <c r="P102" s="289"/>
      <c r="Q102" s="289"/>
      <c r="R102" s="289"/>
      <c r="S102" s="289"/>
      <c r="T102" s="289"/>
      <c r="U102" s="289"/>
      <c r="V102" s="289"/>
      <c r="W102" s="289"/>
      <c r="X102" s="289"/>
    </row>
    <row r="103" spans="1:24" s="341" customFormat="1" ht="47.25" x14ac:dyDescent="0.25">
      <c r="A103" s="381"/>
      <c r="B103" s="363" t="s">
        <v>451</v>
      </c>
      <c r="C103" s="318">
        <f>C101/C102</f>
        <v>1.22</v>
      </c>
      <c r="D103" s="330" t="s">
        <v>653</v>
      </c>
      <c r="E103" s="330" t="s">
        <v>653</v>
      </c>
      <c r="F103" s="360" t="s">
        <v>653</v>
      </c>
      <c r="G103" s="442" t="s">
        <v>696</v>
      </c>
      <c r="H103" s="340"/>
      <c r="I103" s="289"/>
      <c r="J103" s="289"/>
      <c r="K103" s="289"/>
      <c r="L103" s="289"/>
      <c r="M103" s="289"/>
      <c r="N103" s="289"/>
      <c r="O103" s="289"/>
      <c r="P103" s="289"/>
      <c r="Q103" s="289"/>
      <c r="R103" s="289"/>
      <c r="S103" s="289"/>
      <c r="T103" s="289"/>
      <c r="U103" s="289"/>
      <c r="V103" s="289"/>
      <c r="W103" s="289"/>
      <c r="X103" s="289"/>
    </row>
    <row r="104" spans="1:24" s="341" customFormat="1" ht="47.25" x14ac:dyDescent="0.25">
      <c r="A104" s="381"/>
      <c r="B104" s="363" t="s">
        <v>452</v>
      </c>
      <c r="C104" s="391">
        <v>86.1</v>
      </c>
      <c r="D104" s="336">
        <v>100</v>
      </c>
      <c r="E104" s="516">
        <f>D104-C104</f>
        <v>13.900000000000006</v>
      </c>
      <c r="F104" s="360">
        <f>D104/C104*100</f>
        <v>116.14401858304298</v>
      </c>
      <c r="G104" s="443" t="s">
        <v>582</v>
      </c>
      <c r="H104" s="355"/>
      <c r="I104" s="289"/>
      <c r="J104" s="289"/>
      <c r="K104" s="289"/>
      <c r="L104" s="289"/>
      <c r="M104" s="289"/>
      <c r="N104" s="289"/>
      <c r="O104" s="289"/>
      <c r="P104" s="289"/>
      <c r="Q104" s="289"/>
      <c r="R104" s="289"/>
      <c r="S104" s="289"/>
      <c r="T104" s="289"/>
      <c r="U104" s="289"/>
      <c r="V104" s="289"/>
      <c r="W104" s="289"/>
      <c r="X104" s="289"/>
    </row>
    <row r="105" spans="1:24" s="350" customFormat="1" x14ac:dyDescent="0.25">
      <c r="A105" s="382"/>
      <c r="B105" s="1190" t="s">
        <v>101</v>
      </c>
      <c r="C105" s="1190"/>
      <c r="D105" s="1190"/>
      <c r="E105" s="1190"/>
      <c r="F105" s="1190"/>
      <c r="G105" s="1191"/>
      <c r="H105" s="340"/>
      <c r="I105" s="289"/>
      <c r="J105" s="289"/>
      <c r="K105" s="289"/>
      <c r="L105" s="289"/>
      <c r="M105" s="289"/>
      <c r="N105" s="289"/>
      <c r="O105" s="289"/>
      <c r="P105" s="289"/>
      <c r="Q105" s="289"/>
      <c r="R105" s="289"/>
      <c r="S105" s="289"/>
      <c r="T105" s="289"/>
      <c r="U105" s="289"/>
      <c r="V105" s="289"/>
      <c r="W105" s="289"/>
      <c r="X105" s="289"/>
    </row>
    <row r="106" spans="1:24" s="341" customFormat="1" ht="47.25" x14ac:dyDescent="0.25">
      <c r="A106" s="381"/>
      <c r="B106" s="363" t="s">
        <v>453</v>
      </c>
      <c r="C106" s="346">
        <f>'звіт І кв'!E42</f>
        <v>51</v>
      </c>
      <c r="D106" s="346">
        <f>'звіт І кв'!L42</f>
        <v>0</v>
      </c>
      <c r="E106" s="332">
        <f>D106-C106</f>
        <v>-51</v>
      </c>
      <c r="F106" s="332">
        <f>D106/C106*100</f>
        <v>0</v>
      </c>
      <c r="G106" s="442" t="s">
        <v>711</v>
      </c>
      <c r="H106" s="340"/>
      <c r="I106" s="289"/>
      <c r="J106" s="289"/>
      <c r="K106" s="289"/>
      <c r="L106" s="289"/>
      <c r="M106" s="289"/>
      <c r="N106" s="289"/>
      <c r="O106" s="289"/>
      <c r="P106" s="289"/>
      <c r="Q106" s="289"/>
      <c r="R106" s="289"/>
      <c r="S106" s="289"/>
      <c r="T106" s="289"/>
      <c r="U106" s="289"/>
      <c r="V106" s="289"/>
      <c r="W106" s="289"/>
      <c r="X106" s="289"/>
    </row>
    <row r="107" spans="1:24" s="341" customFormat="1" ht="63" x14ac:dyDescent="0.25">
      <c r="A107" s="381"/>
      <c r="B107" s="363" t="s">
        <v>454</v>
      </c>
      <c r="C107" s="336">
        <v>40</v>
      </c>
      <c r="D107" s="336">
        <v>0</v>
      </c>
      <c r="E107" s="332">
        <f>D107-C107</f>
        <v>-40</v>
      </c>
      <c r="F107" s="332">
        <f>D107/C107*100</f>
        <v>0</v>
      </c>
      <c r="G107" s="442" t="s">
        <v>696</v>
      </c>
      <c r="H107" s="340"/>
      <c r="I107" s="289"/>
      <c r="J107" s="289"/>
      <c r="K107" s="289"/>
      <c r="L107" s="289"/>
      <c r="M107" s="289"/>
      <c r="N107" s="289"/>
      <c r="O107" s="289"/>
      <c r="P107" s="289"/>
      <c r="Q107" s="289"/>
      <c r="R107" s="289"/>
      <c r="S107" s="289"/>
      <c r="T107" s="289"/>
      <c r="U107" s="289"/>
      <c r="V107" s="289"/>
      <c r="W107" s="289"/>
      <c r="X107" s="289"/>
    </row>
    <row r="108" spans="1:24" ht="47.25" x14ac:dyDescent="0.25">
      <c r="A108" s="209"/>
      <c r="B108" s="267" t="s">
        <v>451</v>
      </c>
      <c r="C108" s="391">
        <f>C106/C107</f>
        <v>1.2749999999999999</v>
      </c>
      <c r="D108" s="391">
        <v>0</v>
      </c>
      <c r="E108" s="143">
        <v>0</v>
      </c>
      <c r="F108" s="143">
        <f>D108/C108*100</f>
        <v>0</v>
      </c>
      <c r="G108" s="442" t="s">
        <v>696</v>
      </c>
    </row>
    <row r="109" spans="1:24" s="341" customFormat="1" ht="63" x14ac:dyDescent="0.25">
      <c r="A109" s="383"/>
      <c r="B109" s="363" t="s">
        <v>581</v>
      </c>
      <c r="C109" s="391">
        <v>53.9</v>
      </c>
      <c r="D109" s="336">
        <v>100</v>
      </c>
      <c r="E109" s="517">
        <f>D109-C109</f>
        <v>46.1</v>
      </c>
      <c r="F109" s="332">
        <f>D109/C109*100</f>
        <v>185.5287569573284</v>
      </c>
      <c r="G109" s="443" t="s">
        <v>657</v>
      </c>
      <c r="H109" s="355"/>
      <c r="I109" s="289"/>
      <c r="J109" s="289"/>
      <c r="K109" s="289"/>
      <c r="L109" s="289"/>
      <c r="M109" s="289"/>
      <c r="N109" s="289"/>
      <c r="O109" s="289"/>
      <c r="P109" s="289"/>
      <c r="Q109" s="289"/>
      <c r="R109" s="289"/>
      <c r="S109" s="289"/>
      <c r="T109" s="289"/>
      <c r="U109" s="289"/>
      <c r="V109" s="289"/>
      <c r="W109" s="289"/>
      <c r="X109" s="289"/>
    </row>
    <row r="110" spans="1:24" x14ac:dyDescent="0.25">
      <c r="A110" s="276" t="s">
        <v>103</v>
      </c>
      <c r="B110" s="1192" t="s">
        <v>102</v>
      </c>
      <c r="C110" s="1184"/>
      <c r="D110" s="1184"/>
      <c r="E110" s="1184"/>
      <c r="F110" s="1184"/>
      <c r="G110" s="1185"/>
    </row>
    <row r="111" spans="1:24" ht="33.75" customHeight="1" x14ac:dyDescent="0.25">
      <c r="A111" s="212" t="s">
        <v>105</v>
      </c>
      <c r="B111" s="1136" t="s">
        <v>455</v>
      </c>
      <c r="C111" s="1137"/>
      <c r="D111" s="1137"/>
      <c r="E111" s="1137"/>
      <c r="F111" s="1137"/>
      <c r="G111" s="1138"/>
    </row>
    <row r="112" spans="1:24" ht="47.25" x14ac:dyDescent="0.25">
      <c r="A112" s="212"/>
      <c r="B112" s="260" t="s">
        <v>456</v>
      </c>
      <c r="C112" s="368"/>
      <c r="D112" s="368"/>
      <c r="E112" s="275"/>
      <c r="F112" s="275"/>
      <c r="G112" s="261"/>
    </row>
    <row r="113" spans="1:24" s="341" customFormat="1" ht="141.75" x14ac:dyDescent="0.25">
      <c r="A113" s="382"/>
      <c r="B113" s="373" t="s">
        <v>457</v>
      </c>
      <c r="C113" s="108">
        <f>'звіт І кв'!F45</f>
        <v>830.95</v>
      </c>
      <c r="D113" s="333">
        <f>'звіт І кв'!J45</f>
        <v>3986.8470200000002</v>
      </c>
      <c r="E113" s="524">
        <f t="shared" ref="E113:E121" si="4">D113-C113</f>
        <v>3155.8970200000003</v>
      </c>
      <c r="F113" s="360">
        <f t="shared" ref="F113:F121" si="5">D113/C113*100</f>
        <v>479.79385281906247</v>
      </c>
      <c r="G113" s="193" t="s">
        <v>697</v>
      </c>
      <c r="H113" s="340"/>
      <c r="I113" s="289"/>
      <c r="J113" s="289"/>
      <c r="K113" s="289"/>
      <c r="L113" s="289"/>
      <c r="M113" s="289"/>
      <c r="N113" s="289"/>
      <c r="O113" s="289"/>
      <c r="P113" s="289"/>
      <c r="Q113" s="289"/>
      <c r="R113" s="289"/>
      <c r="S113" s="289"/>
      <c r="T113" s="289"/>
      <c r="U113" s="289"/>
      <c r="V113" s="289"/>
      <c r="W113" s="289"/>
      <c r="X113" s="289"/>
    </row>
    <row r="114" spans="1:24" s="341" customFormat="1" ht="47.25" x14ac:dyDescent="0.25">
      <c r="A114" s="382"/>
      <c r="B114" s="373" t="s">
        <v>458</v>
      </c>
      <c r="C114" s="318">
        <v>4800</v>
      </c>
      <c r="D114" s="375">
        <v>952</v>
      </c>
      <c r="E114" s="318">
        <f t="shared" si="4"/>
        <v>-3848</v>
      </c>
      <c r="F114" s="360">
        <f t="shared" si="5"/>
        <v>19.833333333333332</v>
      </c>
      <c r="G114" s="442" t="s">
        <v>400</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373" t="s">
        <v>459</v>
      </c>
      <c r="C115" s="330">
        <f>'звіт І кв'!G45</f>
        <v>878.79480000000001</v>
      </c>
      <c r="D115" s="330">
        <f>'звіт І кв'!K45</f>
        <v>0</v>
      </c>
      <c r="E115" s="330">
        <f t="shared" si="4"/>
        <v>-878.79480000000001</v>
      </c>
      <c r="F115" s="360">
        <f t="shared" si="5"/>
        <v>0</v>
      </c>
      <c r="G115" s="193" t="s">
        <v>698</v>
      </c>
      <c r="H115" s="340"/>
      <c r="I115" s="289"/>
      <c r="J115" s="289"/>
      <c r="K115" s="289"/>
      <c r="L115" s="289"/>
      <c r="M115" s="289"/>
      <c r="N115" s="289"/>
      <c r="O115" s="289"/>
      <c r="P115" s="289"/>
      <c r="Q115" s="289"/>
      <c r="R115" s="289"/>
      <c r="S115" s="289"/>
      <c r="T115" s="289"/>
      <c r="U115" s="289"/>
      <c r="V115" s="289"/>
      <c r="W115" s="289"/>
      <c r="X115" s="289"/>
    </row>
    <row r="116" spans="1:24" s="341" customFormat="1" ht="47.25" x14ac:dyDescent="0.25">
      <c r="A116" s="382"/>
      <c r="B116" s="373" t="s">
        <v>460</v>
      </c>
      <c r="C116" s="360">
        <v>3360</v>
      </c>
      <c r="D116" s="360">
        <v>476</v>
      </c>
      <c r="E116" s="360">
        <f t="shared" si="4"/>
        <v>-2884</v>
      </c>
      <c r="F116" s="360">
        <f t="shared" si="5"/>
        <v>14.166666666666666</v>
      </c>
      <c r="G116" s="442" t="s">
        <v>400</v>
      </c>
      <c r="H116" s="355"/>
      <c r="I116" s="289"/>
      <c r="J116" s="289"/>
      <c r="K116" s="289"/>
      <c r="L116" s="289"/>
      <c r="M116" s="289"/>
      <c r="N116" s="289"/>
      <c r="O116" s="289"/>
      <c r="P116" s="289"/>
      <c r="Q116" s="289"/>
      <c r="R116" s="289"/>
      <c r="S116" s="289"/>
      <c r="T116" s="289"/>
      <c r="U116" s="289"/>
      <c r="V116" s="289"/>
      <c r="W116" s="289"/>
      <c r="X116" s="289"/>
    </row>
    <row r="117" spans="1:24" s="341" customFormat="1" ht="94.5" x14ac:dyDescent="0.25">
      <c r="A117" s="382"/>
      <c r="B117" s="373" t="s">
        <v>461</v>
      </c>
      <c r="C117" s="360">
        <v>2800</v>
      </c>
      <c r="D117" s="360">
        <v>431</v>
      </c>
      <c r="E117" s="360">
        <f t="shared" si="4"/>
        <v>-2369</v>
      </c>
      <c r="F117" s="360">
        <f t="shared" si="5"/>
        <v>15.392857142857144</v>
      </c>
      <c r="G117" s="443" t="s">
        <v>658</v>
      </c>
      <c r="H117" s="355"/>
      <c r="I117" s="289"/>
      <c r="J117" s="289"/>
      <c r="K117" s="289"/>
      <c r="L117" s="289"/>
      <c r="M117" s="289"/>
      <c r="N117" s="289"/>
      <c r="O117" s="289"/>
      <c r="P117" s="289"/>
      <c r="Q117" s="289"/>
      <c r="R117" s="289"/>
      <c r="S117" s="289"/>
      <c r="T117" s="289"/>
      <c r="U117" s="289"/>
      <c r="V117" s="289"/>
      <c r="W117" s="289"/>
      <c r="X117" s="289"/>
    </row>
    <row r="118" spans="1:24" ht="110.25" x14ac:dyDescent="0.25">
      <c r="A118" s="208"/>
      <c r="B118" s="270" t="s">
        <v>462</v>
      </c>
      <c r="C118" s="330">
        <f>(C113+C115)/C117</f>
        <v>0.61062314285714281</v>
      </c>
      <c r="D118" s="330">
        <f>(D113+D115)/D117</f>
        <v>9.2502251044083525</v>
      </c>
      <c r="E118" s="519">
        <f t="shared" si="4"/>
        <v>8.6396019615512092</v>
      </c>
      <c r="F118" s="192">
        <f t="shared" si="5"/>
        <v>1514.8828230004494</v>
      </c>
      <c r="G118" s="122" t="s">
        <v>602</v>
      </c>
    </row>
    <row r="119" spans="1:24" ht="94.5" x14ac:dyDescent="0.25">
      <c r="A119" s="208"/>
      <c r="B119" s="428" t="s">
        <v>463</v>
      </c>
      <c r="C119" s="331">
        <v>83</v>
      </c>
      <c r="D119" s="331">
        <f>D117/D83*100</f>
        <v>41.086749285033363</v>
      </c>
      <c r="E119" s="147">
        <f t="shared" si="4"/>
        <v>-41.913250714966637</v>
      </c>
      <c r="F119" s="192">
        <f t="shared" si="5"/>
        <v>49.502107572329351</v>
      </c>
      <c r="G119" s="122" t="s">
        <v>710</v>
      </c>
    </row>
    <row r="120" spans="1:24" ht="31.5" x14ac:dyDescent="0.25">
      <c r="A120" s="208"/>
      <c r="B120" s="270" t="s">
        <v>464</v>
      </c>
      <c r="C120" s="360">
        <v>17900</v>
      </c>
      <c r="D120" s="360">
        <v>13105</v>
      </c>
      <c r="E120" s="192">
        <f t="shared" si="4"/>
        <v>-4795</v>
      </c>
      <c r="F120" s="192">
        <f t="shared" si="5"/>
        <v>73.212290502793294</v>
      </c>
      <c r="G120" s="122" t="s">
        <v>400</v>
      </c>
    </row>
    <row r="121" spans="1:24" ht="63" x14ac:dyDescent="0.25">
      <c r="A121" s="208"/>
      <c r="B121" s="270" t="s">
        <v>465</v>
      </c>
      <c r="C121" s="331">
        <v>73.7</v>
      </c>
      <c r="D121" s="331">
        <f>D120*100/23100</f>
        <v>56.731601731601735</v>
      </c>
      <c r="E121" s="147">
        <f t="shared" si="4"/>
        <v>-16.968398268398268</v>
      </c>
      <c r="F121" s="147">
        <f t="shared" si="5"/>
        <v>76.976393122933146</v>
      </c>
      <c r="G121" s="122" t="s">
        <v>400</v>
      </c>
    </row>
    <row r="122" spans="1:24" ht="51.75" customHeight="1" x14ac:dyDescent="0.25">
      <c r="A122" s="208"/>
      <c r="B122" s="264"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63" x14ac:dyDescent="0.25">
      <c r="A123" s="208"/>
      <c r="B123" s="269" t="s">
        <v>467</v>
      </c>
      <c r="C123" s="330"/>
      <c r="D123" s="360">
        <v>235</v>
      </c>
      <c r="E123" s="192">
        <f>D123-C123</f>
        <v>235</v>
      </c>
      <c r="F123" s="192">
        <v>100</v>
      </c>
      <c r="G123" s="442" t="s">
        <v>605</v>
      </c>
    </row>
    <row r="124" spans="1:24" ht="63" x14ac:dyDescent="0.25">
      <c r="A124" s="208"/>
      <c r="B124" s="520" t="s">
        <v>684</v>
      </c>
      <c r="C124" s="331">
        <v>60</v>
      </c>
      <c r="D124" s="331">
        <f>80*100/235</f>
        <v>34.042553191489361</v>
      </c>
      <c r="E124" s="147">
        <f>D124-C124</f>
        <v>-25.957446808510639</v>
      </c>
      <c r="F124" s="147">
        <f>D124/C124*100</f>
        <v>56.737588652482273</v>
      </c>
      <c r="G124" s="442" t="s">
        <v>659</v>
      </c>
    </row>
    <row r="125" spans="1:24" ht="31.5" x14ac:dyDescent="0.25">
      <c r="A125" s="208"/>
      <c r="B125" s="263" t="s">
        <v>569</v>
      </c>
      <c r="C125" s="357"/>
      <c r="D125" s="357"/>
      <c r="E125" s="192"/>
      <c r="F125" s="192"/>
      <c r="G125" s="122"/>
    </row>
    <row r="126" spans="1:24" ht="141.75" x14ac:dyDescent="0.25">
      <c r="A126" s="208"/>
      <c r="B126" s="270" t="s">
        <v>468</v>
      </c>
      <c r="C126" s="360">
        <v>1344</v>
      </c>
      <c r="D126" s="360">
        <v>8</v>
      </c>
      <c r="E126" s="192">
        <f>D126-C126</f>
        <v>-1336</v>
      </c>
      <c r="F126" s="147">
        <f>D126/C126*100</f>
        <v>0.59523809523809523</v>
      </c>
      <c r="G126" s="442" t="s">
        <v>699</v>
      </c>
    </row>
    <row r="127" spans="1:24" ht="78.75" x14ac:dyDescent="0.25">
      <c r="A127" s="208"/>
      <c r="B127" s="269" t="s">
        <v>469</v>
      </c>
      <c r="C127" s="330">
        <v>40</v>
      </c>
      <c r="D127" s="330">
        <f>532*100/5957</f>
        <v>8.9306698002350178</v>
      </c>
      <c r="E127" s="203">
        <f>D127-C127</f>
        <v>-31.069330199764984</v>
      </c>
      <c r="F127" s="147">
        <f>D127/C127*100</f>
        <v>22.326674500587547</v>
      </c>
      <c r="G127" s="442" t="s">
        <v>400</v>
      </c>
    </row>
    <row r="128" spans="1:24" ht="94.5" x14ac:dyDescent="0.25">
      <c r="A128" s="208"/>
      <c r="B128" s="263" t="s">
        <v>470</v>
      </c>
      <c r="C128" s="348"/>
      <c r="D128" s="318"/>
      <c r="E128" s="192"/>
      <c r="F128" s="192"/>
      <c r="G128" s="122"/>
    </row>
    <row r="129" spans="1:24" s="341" customFormat="1" x14ac:dyDescent="0.25">
      <c r="A129" s="382"/>
      <c r="B129" s="373" t="s">
        <v>471</v>
      </c>
      <c r="C129" s="108">
        <f>'звіт І кв'!E48</f>
        <v>12900</v>
      </c>
      <c r="D129" s="108">
        <f>'звіт І кв'!L48</f>
        <v>816.4</v>
      </c>
      <c r="E129" s="108">
        <f>D129-C129</f>
        <v>-12083.6</v>
      </c>
      <c r="F129" s="360">
        <f>D129/C129*100</f>
        <v>6.3286821705426348</v>
      </c>
      <c r="G129" s="326" t="s">
        <v>659</v>
      </c>
      <c r="H129" s="340"/>
      <c r="I129" s="289"/>
      <c r="J129" s="289"/>
      <c r="K129" s="289"/>
      <c r="L129" s="289"/>
      <c r="M129" s="289"/>
      <c r="N129" s="289"/>
      <c r="O129" s="289"/>
      <c r="P129" s="289"/>
      <c r="Q129" s="289"/>
      <c r="R129" s="289"/>
      <c r="S129" s="289"/>
      <c r="T129" s="289"/>
      <c r="U129" s="289"/>
      <c r="V129" s="289"/>
      <c r="W129" s="289"/>
      <c r="X129" s="289"/>
    </row>
    <row r="130" spans="1:24" ht="94.5" x14ac:dyDescent="0.25">
      <c r="A130" s="208"/>
      <c r="B130" s="270" t="s">
        <v>472</v>
      </c>
      <c r="C130" s="318">
        <v>700</v>
      </c>
      <c r="D130" s="318">
        <v>206</v>
      </c>
      <c r="E130" s="284">
        <f>D130-C130</f>
        <v>-494</v>
      </c>
      <c r="F130" s="192">
        <f>D130/C130*100</f>
        <v>29.428571428571427</v>
      </c>
      <c r="G130" s="442" t="s">
        <v>700</v>
      </c>
    </row>
    <row r="131" spans="1:24" ht="31.5" x14ac:dyDescent="0.25">
      <c r="A131" s="208"/>
      <c r="B131" s="270" t="s">
        <v>473</v>
      </c>
      <c r="C131" s="330">
        <f>C129/C130</f>
        <v>18.428571428571427</v>
      </c>
      <c r="D131" s="330">
        <f>D129/D130</f>
        <v>3.963106796116505</v>
      </c>
      <c r="E131" s="284">
        <f>D131-C131</f>
        <v>-14.465464632454921</v>
      </c>
      <c r="F131" s="192">
        <f>D131/C131*100</f>
        <v>21.50523067660119</v>
      </c>
      <c r="G131" s="122" t="s">
        <v>400</v>
      </c>
    </row>
    <row r="132" spans="1:24" ht="110.25" x14ac:dyDescent="0.25">
      <c r="A132" s="208"/>
      <c r="B132" s="270" t="s">
        <v>474</v>
      </c>
      <c r="C132" s="330">
        <v>80</v>
      </c>
      <c r="D132" s="330">
        <f>142*100/184</f>
        <v>77.173913043478265</v>
      </c>
      <c r="E132" s="284">
        <f>D132-C132</f>
        <v>-2.8260869565217348</v>
      </c>
      <c r="F132" s="192">
        <f>D132/C132*100</f>
        <v>96.467391304347828</v>
      </c>
      <c r="G132" s="442" t="s">
        <v>701</v>
      </c>
    </row>
    <row r="133" spans="1:24" s="149" customFormat="1" ht="35.25" customHeight="1" x14ac:dyDescent="0.25">
      <c r="A133" s="208"/>
      <c r="B133" s="260" t="s">
        <v>475</v>
      </c>
      <c r="C133" s="368"/>
      <c r="D133" s="368"/>
      <c r="E133" s="275"/>
      <c r="F133" s="275"/>
      <c r="G133" s="261"/>
      <c r="H133" s="319"/>
      <c r="I133" s="124"/>
      <c r="J133" s="124"/>
      <c r="K133" s="124"/>
      <c r="L133" s="124"/>
      <c r="M133" s="124"/>
      <c r="N133" s="124"/>
      <c r="O133" s="124"/>
      <c r="P133" s="124"/>
      <c r="Q133" s="124"/>
      <c r="R133" s="124"/>
      <c r="S133" s="124"/>
      <c r="T133" s="124"/>
      <c r="U133" s="124"/>
      <c r="V133" s="124"/>
      <c r="W133" s="124"/>
      <c r="X133" s="124"/>
    </row>
    <row r="134" spans="1:24" ht="47.25" x14ac:dyDescent="0.25">
      <c r="A134" s="209"/>
      <c r="B134" s="267" t="s">
        <v>476</v>
      </c>
      <c r="C134" s="332">
        <v>1507</v>
      </c>
      <c r="D134" s="332">
        <v>120</v>
      </c>
      <c r="E134" s="143">
        <f>D134-C134</f>
        <v>-1387</v>
      </c>
      <c r="F134" s="143">
        <f>D134/C134*100</f>
        <v>7.9628400796284016</v>
      </c>
      <c r="G134" s="442" t="s">
        <v>400</v>
      </c>
    </row>
    <row r="135" spans="1:24" ht="47.25" x14ac:dyDescent="0.25">
      <c r="A135" s="210"/>
      <c r="B135" s="267" t="s">
        <v>477</v>
      </c>
      <c r="C135" s="336">
        <v>50</v>
      </c>
      <c r="D135" s="351">
        <f>D134/D117*100</f>
        <v>27.842227378190255</v>
      </c>
      <c r="E135" s="143">
        <f>D135-C135</f>
        <v>-22.157772621809745</v>
      </c>
      <c r="F135" s="143">
        <f>D135/C135*100</f>
        <v>55.684454756380511</v>
      </c>
      <c r="G135" s="442" t="s">
        <v>400</v>
      </c>
    </row>
    <row r="136" spans="1:24" ht="21.75" customHeight="1" x14ac:dyDescent="0.25">
      <c r="A136" s="208" t="s">
        <v>329</v>
      </c>
      <c r="B136" s="1136" t="s">
        <v>478</v>
      </c>
      <c r="C136" s="1137"/>
      <c r="D136" s="1137"/>
      <c r="E136" s="1137"/>
      <c r="F136" s="1137"/>
      <c r="G136" s="1138"/>
    </row>
    <row r="137" spans="1:24" s="341" customFormat="1" x14ac:dyDescent="0.25">
      <c r="A137" s="384"/>
      <c r="B137" s="373" t="s">
        <v>479</v>
      </c>
      <c r="C137" s="108">
        <f>'звіт І кв'!E50</f>
        <v>1046.93</v>
      </c>
      <c r="D137" s="385">
        <f>'звіт І кв'!I50</f>
        <v>217.70162999999999</v>
      </c>
      <c r="E137" s="332">
        <f>D137-C137</f>
        <v>-829.22837000000004</v>
      </c>
      <c r="F137" s="332">
        <f>D137/C137*100</f>
        <v>20.794287106110243</v>
      </c>
      <c r="G137" s="443" t="s">
        <v>400</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381"/>
      <c r="B138" s="386" t="s">
        <v>480</v>
      </c>
      <c r="C138" s="318">
        <v>1120</v>
      </c>
      <c r="D138" s="387">
        <v>431</v>
      </c>
      <c r="E138" s="332">
        <f>D138-C138</f>
        <v>-689</v>
      </c>
      <c r="F138" s="332">
        <f>D138/C138*100</f>
        <v>38.482142857142861</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381"/>
      <c r="B139" s="386" t="s">
        <v>481</v>
      </c>
      <c r="C139" s="330">
        <f>C137/C138</f>
        <v>0.93475892857142862</v>
      </c>
      <c r="D139" s="358">
        <f>D137/D138</f>
        <v>0.50510819025522036</v>
      </c>
      <c r="E139" s="346">
        <f>D139-C139</f>
        <v>-0.42965073831620826</v>
      </c>
      <c r="F139" s="332">
        <f>D139/C139*100</f>
        <v>54.036198512397846</v>
      </c>
      <c r="G139" s="443" t="s">
        <v>400</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5.25" customHeight="1" x14ac:dyDescent="0.25">
      <c r="A141" s="382" t="s">
        <v>333</v>
      </c>
      <c r="B141" s="1186" t="s">
        <v>114</v>
      </c>
      <c r="C141" s="1187"/>
      <c r="D141" s="1187"/>
      <c r="E141" s="1187"/>
      <c r="F141" s="1187"/>
      <c r="G141" s="1188"/>
      <c r="H141" s="340"/>
      <c r="I141" s="289"/>
      <c r="J141" s="289"/>
      <c r="K141" s="289"/>
      <c r="L141" s="289"/>
      <c r="M141" s="289"/>
      <c r="N141" s="289"/>
      <c r="O141" s="289"/>
      <c r="P141" s="289"/>
      <c r="Q141" s="289"/>
      <c r="R141" s="289"/>
      <c r="S141" s="289"/>
      <c r="T141" s="289"/>
      <c r="U141" s="289"/>
      <c r="V141" s="289"/>
      <c r="W141" s="289"/>
      <c r="X141" s="289"/>
    </row>
    <row r="142" spans="1:24" s="341" customFormat="1" x14ac:dyDescent="0.25">
      <c r="A142" s="384"/>
      <c r="B142" s="356" t="s">
        <v>249</v>
      </c>
      <c r="C142" s="108">
        <f>'звіт І кв'!E51</f>
        <v>1980.00251</v>
      </c>
      <c r="D142" s="346">
        <f>'звіт І кв'!I51</f>
        <v>191.21016</v>
      </c>
      <c r="E142" s="332">
        <f>D142-C142</f>
        <v>-1788.7923499999999</v>
      </c>
      <c r="F142" s="332">
        <f>D142/C142*100</f>
        <v>9.6570665458398839</v>
      </c>
      <c r="G142" s="443" t="s">
        <v>400</v>
      </c>
      <c r="H142" s="340"/>
      <c r="I142" s="289"/>
      <c r="J142" s="289"/>
      <c r="K142" s="289"/>
      <c r="L142" s="289"/>
      <c r="M142" s="289"/>
      <c r="N142" s="289"/>
      <c r="O142" s="289"/>
      <c r="P142" s="289"/>
      <c r="Q142" s="289"/>
      <c r="R142" s="289"/>
      <c r="S142" s="289"/>
      <c r="T142" s="289"/>
      <c r="U142" s="289"/>
      <c r="V142" s="289"/>
      <c r="W142" s="289"/>
      <c r="X142" s="289"/>
    </row>
    <row r="143" spans="1:24" ht="31.5" x14ac:dyDescent="0.25">
      <c r="A143" s="209"/>
      <c r="B143" s="266" t="s">
        <v>483</v>
      </c>
      <c r="C143" s="318">
        <v>2800</v>
      </c>
      <c r="D143" s="336">
        <v>431</v>
      </c>
      <c r="E143" s="143">
        <f>D143-C143</f>
        <v>-2369</v>
      </c>
      <c r="F143" s="143">
        <f>D143/C143*100</f>
        <v>15.392857142857144</v>
      </c>
      <c r="G143" s="443" t="s">
        <v>400</v>
      </c>
    </row>
    <row r="144" spans="1:24" ht="47.25" x14ac:dyDescent="0.25">
      <c r="A144" s="209"/>
      <c r="B144" s="266" t="s">
        <v>484</v>
      </c>
      <c r="C144" s="330">
        <f>C142/C143</f>
        <v>0.70714375357142856</v>
      </c>
      <c r="D144" s="330">
        <f>D142/D143</f>
        <v>0.44364306264501163</v>
      </c>
      <c r="E144" s="223">
        <f>D144-C144</f>
        <v>-0.26350069092641693</v>
      </c>
      <c r="F144" s="143">
        <f>D144/C144*100</f>
        <v>62.737323267637301</v>
      </c>
      <c r="G144" s="443" t="s">
        <v>400</v>
      </c>
    </row>
    <row r="145" spans="1:24" ht="78.75" x14ac:dyDescent="0.25">
      <c r="A145" s="210"/>
      <c r="B145" s="266" t="s">
        <v>485</v>
      </c>
      <c r="C145" s="318">
        <v>100</v>
      </c>
      <c r="D145" s="336">
        <v>100</v>
      </c>
      <c r="E145" s="143">
        <f>D145-C145</f>
        <v>0</v>
      </c>
      <c r="F145" s="143">
        <f>D145/C145*100</f>
        <v>100</v>
      </c>
      <c r="G145" s="442" t="s">
        <v>703</v>
      </c>
    </row>
    <row r="146" spans="1:24" ht="21" customHeight="1" x14ac:dyDescent="0.25">
      <c r="A146" s="208" t="s">
        <v>339</v>
      </c>
      <c r="B146" s="1136" t="s">
        <v>486</v>
      </c>
      <c r="C146" s="1137"/>
      <c r="D146" s="1137"/>
      <c r="E146" s="1137"/>
      <c r="F146" s="1137"/>
      <c r="G146" s="1138"/>
    </row>
    <row r="147" spans="1:24" s="341" customFormat="1" x14ac:dyDescent="0.25">
      <c r="A147" s="384"/>
      <c r="B147" s="356" t="s">
        <v>487</v>
      </c>
      <c r="C147" s="108">
        <f>'звіт І кв'!E57</f>
        <v>4449.174</v>
      </c>
      <c r="D147" s="346">
        <f>'звіт І кв'!I57</f>
        <v>17.729010000000002</v>
      </c>
      <c r="E147" s="332">
        <f>D147-C147</f>
        <v>-4431.44499</v>
      </c>
      <c r="F147" s="332">
        <f>D147/C147*100</f>
        <v>0.39847868390851882</v>
      </c>
      <c r="G147" s="443" t="s">
        <v>660</v>
      </c>
      <c r="H147" s="389"/>
      <c r="I147" s="390"/>
      <c r="J147" s="390"/>
      <c r="K147" s="390"/>
      <c r="L147" s="390"/>
      <c r="M147" s="390"/>
      <c r="N147" s="390"/>
      <c r="O147" s="390"/>
      <c r="P147" s="390"/>
      <c r="Q147" s="390"/>
      <c r="R147" s="390"/>
      <c r="S147" s="390"/>
      <c r="T147" s="390"/>
      <c r="U147" s="390"/>
      <c r="V147" s="390"/>
      <c r="W147" s="390"/>
      <c r="X147" s="390"/>
    </row>
    <row r="148" spans="1:24" s="149" customFormat="1" x14ac:dyDescent="0.25">
      <c r="A148" s="208"/>
      <c r="B148" s="264" t="s">
        <v>124</v>
      </c>
      <c r="C148" s="447"/>
      <c r="D148" s="447"/>
      <c r="E148" s="143"/>
      <c r="F148" s="143"/>
      <c r="G148" s="448"/>
      <c r="H148" s="321"/>
      <c r="I148" s="282"/>
      <c r="J148" s="282"/>
      <c r="K148" s="282"/>
      <c r="L148" s="282"/>
      <c r="M148" s="282"/>
      <c r="N148" s="282"/>
      <c r="O148" s="282"/>
      <c r="P148" s="282"/>
      <c r="Q148" s="282"/>
      <c r="R148" s="282"/>
      <c r="S148" s="282"/>
      <c r="T148" s="282"/>
      <c r="U148" s="282"/>
      <c r="V148" s="282"/>
      <c r="W148" s="282"/>
      <c r="X148" s="282"/>
    </row>
    <row r="149" spans="1:24" ht="31.5" x14ac:dyDescent="0.25">
      <c r="A149" s="209"/>
      <c r="B149" s="280" t="s">
        <v>488</v>
      </c>
      <c r="C149" s="318">
        <v>2000</v>
      </c>
      <c r="D149" s="336">
        <v>630</v>
      </c>
      <c r="E149" s="143">
        <f t="shared" ref="E149:E159" si="6">D149-C149</f>
        <v>-1370</v>
      </c>
      <c r="F149" s="143">
        <f t="shared" ref="F149:F159" si="7">D149/C149*100</f>
        <v>31.5</v>
      </c>
      <c r="G149" s="443" t="s">
        <v>660</v>
      </c>
      <c r="H149" s="320"/>
      <c r="I149" s="278"/>
      <c r="J149" s="278"/>
      <c r="K149" s="278"/>
      <c r="L149" s="278"/>
      <c r="M149" s="278"/>
      <c r="N149" s="278"/>
      <c r="O149" s="278"/>
      <c r="P149" s="278"/>
      <c r="Q149" s="278"/>
      <c r="R149" s="278"/>
      <c r="S149" s="278"/>
      <c r="T149" s="278"/>
      <c r="U149" s="278"/>
      <c r="V149" s="278"/>
      <c r="W149" s="278"/>
      <c r="X149" s="278"/>
    </row>
    <row r="150" spans="1:24" s="149" customFormat="1" x14ac:dyDescent="0.25">
      <c r="A150" s="208"/>
      <c r="B150" s="264" t="s">
        <v>125</v>
      </c>
      <c r="C150" s="447"/>
      <c r="D150" s="447"/>
      <c r="E150" s="143"/>
      <c r="F150" s="143"/>
      <c r="G150" s="448"/>
      <c r="H150" s="321"/>
      <c r="I150" s="282"/>
      <c r="J150" s="282"/>
      <c r="K150" s="282"/>
      <c r="L150" s="282"/>
      <c r="M150" s="282"/>
      <c r="N150" s="282"/>
      <c r="O150" s="282"/>
      <c r="P150" s="282"/>
      <c r="Q150" s="282"/>
      <c r="R150" s="282"/>
      <c r="S150" s="282"/>
      <c r="T150" s="282"/>
      <c r="U150" s="282"/>
      <c r="V150" s="282"/>
      <c r="W150" s="282"/>
      <c r="X150" s="282"/>
    </row>
    <row r="151" spans="1:24" ht="47.25" x14ac:dyDescent="0.25">
      <c r="A151" s="209"/>
      <c r="B151" s="280" t="s">
        <v>489</v>
      </c>
      <c r="C151" s="318">
        <v>1000</v>
      </c>
      <c r="D151" s="336">
        <v>648</v>
      </c>
      <c r="E151" s="143">
        <f t="shared" si="6"/>
        <v>-352</v>
      </c>
      <c r="F151" s="143">
        <f t="shared" si="7"/>
        <v>64.8</v>
      </c>
      <c r="G151" s="443" t="s">
        <v>660</v>
      </c>
      <c r="H151" s="320"/>
      <c r="I151" s="278"/>
      <c r="J151" s="278"/>
      <c r="K151" s="278"/>
      <c r="L151" s="278"/>
      <c r="M151" s="278"/>
      <c r="N151" s="278"/>
      <c r="O151" s="278"/>
      <c r="P151" s="278"/>
      <c r="Q151" s="278"/>
      <c r="R151" s="278"/>
      <c r="S151" s="278"/>
      <c r="T151" s="278"/>
      <c r="U151" s="278"/>
      <c r="V151" s="278"/>
      <c r="W151" s="278"/>
      <c r="X151" s="278"/>
    </row>
    <row r="152" spans="1:24" s="149" customFormat="1" x14ac:dyDescent="0.25">
      <c r="A152" s="208"/>
      <c r="B152" s="264" t="s">
        <v>126</v>
      </c>
      <c r="C152" s="447"/>
      <c r="D152" s="447"/>
      <c r="E152" s="143"/>
      <c r="F152" s="143"/>
      <c r="G152" s="448"/>
      <c r="H152" s="321"/>
      <c r="I152" s="282"/>
      <c r="J152" s="282"/>
      <c r="K152" s="282"/>
      <c r="L152" s="282"/>
      <c r="M152" s="282"/>
      <c r="N152" s="282"/>
      <c r="O152" s="282"/>
      <c r="P152" s="282"/>
      <c r="Q152" s="282"/>
      <c r="R152" s="282"/>
      <c r="S152" s="282"/>
      <c r="T152" s="282"/>
      <c r="U152" s="282"/>
      <c r="V152" s="282"/>
      <c r="W152" s="282"/>
      <c r="X152" s="282"/>
    </row>
    <row r="153" spans="1:24" ht="31.5" x14ac:dyDescent="0.25">
      <c r="A153" s="209"/>
      <c r="B153" s="280" t="s">
        <v>490</v>
      </c>
      <c r="C153" s="318">
        <v>75</v>
      </c>
      <c r="D153" s="336">
        <v>118</v>
      </c>
      <c r="E153" s="522">
        <f t="shared" si="6"/>
        <v>43</v>
      </c>
      <c r="F153" s="143">
        <f t="shared" si="7"/>
        <v>157.33333333333331</v>
      </c>
      <c r="G153" s="443" t="s">
        <v>660</v>
      </c>
      <c r="H153" s="320"/>
      <c r="I153" s="278"/>
      <c r="J153" s="278"/>
      <c r="K153" s="278"/>
      <c r="L153" s="278"/>
      <c r="M153" s="278"/>
      <c r="N153" s="278"/>
      <c r="O153" s="278"/>
      <c r="P153" s="278"/>
      <c r="Q153" s="278"/>
      <c r="R153" s="278"/>
      <c r="S153" s="278"/>
      <c r="T153" s="278"/>
      <c r="U153" s="278"/>
      <c r="V153" s="278"/>
      <c r="W153" s="278"/>
      <c r="X153" s="278"/>
    </row>
    <row r="154" spans="1:24" s="149" customFormat="1" x14ac:dyDescent="0.25">
      <c r="A154" s="208"/>
      <c r="B154" s="264" t="s">
        <v>127</v>
      </c>
      <c r="C154" s="447"/>
      <c r="D154" s="447"/>
      <c r="E154" s="143"/>
      <c r="F154" s="143"/>
      <c r="G154" s="448"/>
      <c r="H154" s="321"/>
      <c r="I154" s="282"/>
      <c r="J154" s="282"/>
      <c r="K154" s="282"/>
      <c r="L154" s="282"/>
      <c r="M154" s="282"/>
      <c r="N154" s="282"/>
      <c r="O154" s="282"/>
      <c r="P154" s="282"/>
      <c r="Q154" s="282"/>
      <c r="R154" s="282"/>
      <c r="S154" s="282"/>
      <c r="T154" s="282"/>
      <c r="U154" s="282"/>
      <c r="V154" s="282"/>
      <c r="W154" s="282"/>
      <c r="X154" s="282"/>
    </row>
    <row r="155" spans="1:24" ht="47.25" x14ac:dyDescent="0.25">
      <c r="A155" s="209"/>
      <c r="B155" s="280" t="s">
        <v>491</v>
      </c>
      <c r="C155" s="318">
        <v>75</v>
      </c>
      <c r="D155" s="336">
        <v>52</v>
      </c>
      <c r="E155" s="143">
        <f t="shared" si="6"/>
        <v>-23</v>
      </c>
      <c r="F155" s="143">
        <f t="shared" si="7"/>
        <v>69.333333333333343</v>
      </c>
      <c r="G155" s="443" t="s">
        <v>660</v>
      </c>
      <c r="H155" s="320"/>
      <c r="I155" s="278"/>
      <c r="J155" s="278"/>
      <c r="K155" s="278"/>
      <c r="L155" s="278"/>
      <c r="M155" s="278"/>
      <c r="N155" s="278"/>
      <c r="O155" s="278"/>
      <c r="P155" s="278"/>
      <c r="Q155" s="278"/>
      <c r="R155" s="278"/>
      <c r="S155" s="278"/>
      <c r="T155" s="278"/>
      <c r="U155" s="278"/>
      <c r="V155" s="278"/>
      <c r="W155" s="278"/>
      <c r="X155" s="278"/>
    </row>
    <row r="156" spans="1:24" s="198" customFormat="1" x14ac:dyDescent="0.25">
      <c r="A156" s="235"/>
      <c r="B156" s="264" t="s">
        <v>128</v>
      </c>
      <c r="C156" s="449"/>
      <c r="D156" s="418"/>
      <c r="E156" s="143"/>
      <c r="F156" s="143"/>
      <c r="G156" s="450"/>
      <c r="H156" s="322"/>
      <c r="I156" s="281"/>
      <c r="J156" s="281"/>
      <c r="K156" s="281"/>
      <c r="L156" s="281"/>
      <c r="M156" s="281"/>
      <c r="N156" s="281"/>
      <c r="O156" s="281"/>
      <c r="P156" s="281"/>
      <c r="Q156" s="281"/>
      <c r="R156" s="281"/>
      <c r="S156" s="281"/>
      <c r="T156" s="281"/>
      <c r="U156" s="281"/>
      <c r="V156" s="281"/>
      <c r="W156" s="281"/>
      <c r="X156" s="281"/>
    </row>
    <row r="157" spans="1:24" ht="78.75" x14ac:dyDescent="0.25">
      <c r="A157" s="209"/>
      <c r="B157" s="266" t="s">
        <v>492</v>
      </c>
      <c r="C157" s="318">
        <v>432</v>
      </c>
      <c r="D157" s="336">
        <v>1115</v>
      </c>
      <c r="E157" s="522">
        <f t="shared" si="6"/>
        <v>683</v>
      </c>
      <c r="F157" s="143">
        <f t="shared" si="7"/>
        <v>258.10185185185185</v>
      </c>
      <c r="G157" s="442" t="s">
        <v>704</v>
      </c>
    </row>
    <row r="158" spans="1:24" ht="47.25" x14ac:dyDescent="0.25">
      <c r="A158" s="209"/>
      <c r="B158" s="266" t="s">
        <v>493</v>
      </c>
      <c r="C158" s="330">
        <v>0.2</v>
      </c>
      <c r="D158" s="391">
        <f>D147/(D149+D151+D153+D155+D157)</f>
        <v>6.9172883339836139E-3</v>
      </c>
      <c r="E158" s="223">
        <f t="shared" si="6"/>
        <v>-0.1930827116660164</v>
      </c>
      <c r="F158" s="143">
        <f t="shared" si="7"/>
        <v>3.4586441669918067</v>
      </c>
      <c r="G158" s="443" t="s">
        <v>660</v>
      </c>
    </row>
    <row r="159" spans="1:24" ht="63" x14ac:dyDescent="0.25">
      <c r="A159" s="210"/>
      <c r="B159" s="266" t="s">
        <v>494</v>
      </c>
      <c r="C159" s="330">
        <v>55</v>
      </c>
      <c r="D159" s="391">
        <f>2104/3161*100</f>
        <v>66.56121480544131</v>
      </c>
      <c r="E159" s="521">
        <f t="shared" si="6"/>
        <v>11.56121480544131</v>
      </c>
      <c r="F159" s="219">
        <f t="shared" si="7"/>
        <v>121.02039055534783</v>
      </c>
      <c r="G159" s="443" t="s">
        <v>674</v>
      </c>
    </row>
    <row r="160" spans="1:24" ht="36.75" customHeight="1" x14ac:dyDescent="0.25">
      <c r="A160" s="212" t="s">
        <v>343</v>
      </c>
      <c r="B160" s="1136" t="s">
        <v>495</v>
      </c>
      <c r="C160" s="1137"/>
      <c r="D160" s="1137"/>
      <c r="E160" s="1137"/>
      <c r="F160" s="1137"/>
      <c r="G160" s="1138"/>
    </row>
    <row r="161" spans="1:24" s="341" customFormat="1" x14ac:dyDescent="0.25">
      <c r="A161" s="384"/>
      <c r="B161" s="356" t="s">
        <v>249</v>
      </c>
      <c r="C161" s="330">
        <f>'звіт І кв'!E63</f>
        <v>237.5</v>
      </c>
      <c r="D161" s="391">
        <f>'звіт І кв'!I63</f>
        <v>0</v>
      </c>
      <c r="E161" s="346">
        <f>D161-C161</f>
        <v>-237.5</v>
      </c>
      <c r="F161" s="332">
        <f>D161/C161*100</f>
        <v>0</v>
      </c>
      <c r="G161" s="326" t="s">
        <v>400</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266" t="s">
        <v>496</v>
      </c>
      <c r="C162" s="318">
        <v>40</v>
      </c>
      <c r="D162" s="336">
        <v>27</v>
      </c>
      <c r="E162" s="143">
        <f>D162-C162</f>
        <v>-13</v>
      </c>
      <c r="F162" s="143">
        <f>D162/C162*100</f>
        <v>67.5</v>
      </c>
      <c r="G162" s="122" t="s">
        <v>661</v>
      </c>
    </row>
    <row r="163" spans="1:24" ht="31.5" x14ac:dyDescent="0.25">
      <c r="A163" s="209"/>
      <c r="B163" s="266" t="s">
        <v>497</v>
      </c>
      <c r="C163" s="330">
        <f>C161/C162</f>
        <v>5.9375</v>
      </c>
      <c r="D163" s="391">
        <f>D161/D162</f>
        <v>0</v>
      </c>
      <c r="E163" s="223">
        <f>D163-C163</f>
        <v>-5.9375</v>
      </c>
      <c r="F163" s="143">
        <f>D163/C163*100</f>
        <v>0</v>
      </c>
      <c r="G163" s="122" t="s">
        <v>400</v>
      </c>
    </row>
    <row r="164" spans="1:24" ht="84" customHeight="1" x14ac:dyDescent="0.25">
      <c r="A164" s="210"/>
      <c r="B164" s="266" t="s">
        <v>498</v>
      </c>
      <c r="C164" s="318">
        <v>95</v>
      </c>
      <c r="D164" s="351">
        <f>D162/31*100</f>
        <v>87.096774193548384</v>
      </c>
      <c r="E164" s="143">
        <f>D164-C164</f>
        <v>-7.9032258064516157</v>
      </c>
      <c r="F164" s="143">
        <f>D164/C164*100</f>
        <v>91.68081494057725</v>
      </c>
      <c r="G164" s="122" t="s">
        <v>661</v>
      </c>
    </row>
    <row r="165" spans="1:24" x14ac:dyDescent="0.25">
      <c r="A165" s="283" t="s">
        <v>132</v>
      </c>
      <c r="B165" s="1182" t="s">
        <v>131</v>
      </c>
      <c r="C165" s="1183"/>
      <c r="D165" s="1183"/>
      <c r="E165" s="1184"/>
      <c r="F165" s="1184"/>
      <c r="G165" s="1185"/>
    </row>
    <row r="166" spans="1:24" s="149" customFormat="1" x14ac:dyDescent="0.25">
      <c r="A166" s="212" t="s">
        <v>135</v>
      </c>
      <c r="B166" s="1136" t="s">
        <v>499</v>
      </c>
      <c r="C166" s="1137"/>
      <c r="D166" s="1137"/>
      <c r="E166" s="1137"/>
      <c r="F166" s="1137"/>
      <c r="G166" s="1138"/>
      <c r="H166" s="319"/>
      <c r="I166" s="124"/>
      <c r="J166" s="124"/>
      <c r="K166" s="124"/>
      <c r="L166" s="124"/>
      <c r="M166" s="124"/>
      <c r="N166" s="124"/>
      <c r="O166" s="124"/>
      <c r="P166" s="124"/>
      <c r="Q166" s="124"/>
      <c r="R166" s="124"/>
      <c r="S166" s="124"/>
      <c r="T166" s="124"/>
      <c r="U166" s="124"/>
      <c r="V166" s="124"/>
      <c r="W166" s="124"/>
      <c r="X166" s="124"/>
    </row>
    <row r="167" spans="1:24" s="350" customFormat="1" x14ac:dyDescent="0.25">
      <c r="A167" s="392"/>
      <c r="B167" s="337" t="s">
        <v>196</v>
      </c>
      <c r="C167" s="108">
        <f>'звіт І кв'!E66</f>
        <v>188433.41999999998</v>
      </c>
      <c r="D167" s="108">
        <f>'звіт І кв'!I65</f>
        <v>15031.682649999999</v>
      </c>
      <c r="E167" s="108">
        <f>D167-C167</f>
        <v>-173401.73734999998</v>
      </c>
      <c r="F167" s="360">
        <f>D167/C167*100</f>
        <v>7.977185071522876</v>
      </c>
      <c r="G167" s="122" t="s">
        <v>400</v>
      </c>
      <c r="H167" s="340"/>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260" t="s">
        <v>500</v>
      </c>
      <c r="C168" s="368"/>
      <c r="D168" s="368"/>
      <c r="E168" s="284"/>
      <c r="F168" s="191"/>
      <c r="G168" s="261"/>
      <c r="H168" s="319"/>
      <c r="I168" s="124"/>
      <c r="J168" s="124"/>
      <c r="K168" s="124"/>
      <c r="L168" s="124"/>
      <c r="M168" s="124"/>
      <c r="N168" s="124"/>
      <c r="O168" s="124"/>
      <c r="P168" s="124"/>
      <c r="Q168" s="124"/>
      <c r="R168" s="124"/>
      <c r="S168" s="124"/>
      <c r="T168" s="124"/>
      <c r="U168" s="124"/>
      <c r="V168" s="124"/>
      <c r="W168" s="124"/>
      <c r="X168" s="124"/>
    </row>
    <row r="169" spans="1:24" ht="173.25" x14ac:dyDescent="0.25">
      <c r="A169" s="209"/>
      <c r="B169" s="259" t="s">
        <v>501</v>
      </c>
      <c r="C169" s="332">
        <v>15704</v>
      </c>
      <c r="D169" s="332">
        <v>8903</v>
      </c>
      <c r="E169" s="327">
        <f>D169-C169</f>
        <v>-6801</v>
      </c>
      <c r="F169" s="192">
        <f t="shared" ref="F169:F177" si="8">D169/C169*100</f>
        <v>56.692562404482935</v>
      </c>
      <c r="G169" s="122" t="s">
        <v>662</v>
      </c>
    </row>
    <row r="170" spans="1:24" ht="31.5" x14ac:dyDescent="0.25">
      <c r="A170" s="209"/>
      <c r="B170" s="259" t="s">
        <v>502</v>
      </c>
      <c r="C170" s="332">
        <v>3000</v>
      </c>
      <c r="D170" s="332">
        <v>590</v>
      </c>
      <c r="E170" s="284">
        <f>D170-C170</f>
        <v>-2410</v>
      </c>
      <c r="F170" s="192">
        <f t="shared" si="8"/>
        <v>19.666666666666664</v>
      </c>
      <c r="G170" s="122" t="s">
        <v>400</v>
      </c>
    </row>
    <row r="171" spans="1:24" ht="31.5" x14ac:dyDescent="0.25">
      <c r="A171" s="209"/>
      <c r="B171" s="259" t="s">
        <v>222</v>
      </c>
      <c r="C171" s="346">
        <f>C167/C169</f>
        <v>11.999071574121242</v>
      </c>
      <c r="D171" s="346">
        <f>D167/D169</f>
        <v>1.6883839885431875</v>
      </c>
      <c r="E171" s="284">
        <f>D171-C171</f>
        <v>-10.310687585578055</v>
      </c>
      <c r="F171" s="192">
        <f t="shared" si="8"/>
        <v>14.070955224440665</v>
      </c>
      <c r="G171" s="122" t="s">
        <v>400</v>
      </c>
    </row>
    <row r="172" spans="1:24" ht="63" x14ac:dyDescent="0.25">
      <c r="A172" s="209"/>
      <c r="B172" s="259" t="s">
        <v>503</v>
      </c>
      <c r="C172" s="346">
        <v>88</v>
      </c>
      <c r="D172" s="346">
        <f>8723/12945*100</f>
        <v>67.38509076863653</v>
      </c>
      <c r="E172" s="284">
        <f>D172-C172</f>
        <v>-20.61490923136347</v>
      </c>
      <c r="F172" s="192">
        <f t="shared" si="8"/>
        <v>76.573966782541518</v>
      </c>
      <c r="G172" s="122" t="s">
        <v>400</v>
      </c>
    </row>
    <row r="173" spans="1:24" ht="47.25" x14ac:dyDescent="0.25">
      <c r="A173" s="138"/>
      <c r="B173" s="260" t="s">
        <v>504</v>
      </c>
      <c r="C173" s="368"/>
      <c r="D173" s="368"/>
      <c r="E173" s="284"/>
      <c r="F173" s="191"/>
      <c r="G173" s="261"/>
    </row>
    <row r="174" spans="1:24" ht="47.25" x14ac:dyDescent="0.25">
      <c r="A174" s="138"/>
      <c r="B174" s="259" t="s">
        <v>505</v>
      </c>
      <c r="C174" s="332">
        <v>2000</v>
      </c>
      <c r="D174" s="332">
        <v>7</v>
      </c>
      <c r="E174" s="327">
        <f>D174-C174</f>
        <v>-1993</v>
      </c>
      <c r="F174" s="191">
        <f t="shared" si="8"/>
        <v>0.35000000000000003</v>
      </c>
      <c r="G174" s="122" t="s">
        <v>400</v>
      </c>
    </row>
    <row r="175" spans="1:24" ht="63" x14ac:dyDescent="0.25">
      <c r="A175" s="138"/>
      <c r="B175" s="259" t="s">
        <v>506</v>
      </c>
      <c r="C175" s="412">
        <v>60</v>
      </c>
      <c r="D175" s="336">
        <f>7*100/8</f>
        <v>87.5</v>
      </c>
      <c r="E175" s="526">
        <f>D175-C175</f>
        <v>27.5</v>
      </c>
      <c r="F175" s="203">
        <f t="shared" si="8"/>
        <v>145.83333333333331</v>
      </c>
      <c r="G175" s="122" t="s">
        <v>400</v>
      </c>
    </row>
    <row r="176" spans="1:24" ht="31.5" x14ac:dyDescent="0.25">
      <c r="A176" s="138"/>
      <c r="B176" s="260" t="s">
        <v>507</v>
      </c>
      <c r="C176" s="339"/>
      <c r="D176" s="332"/>
      <c r="E176" s="284"/>
      <c r="F176" s="191"/>
      <c r="G176" s="122"/>
    </row>
    <row r="177" spans="1:24" ht="31.5" x14ac:dyDescent="0.25">
      <c r="A177" s="138"/>
      <c r="B177" s="259" t="s">
        <v>508</v>
      </c>
      <c r="C177" s="332">
        <v>9666</v>
      </c>
      <c r="D177" s="332">
        <v>3552</v>
      </c>
      <c r="E177" s="108">
        <f>D177-C177</f>
        <v>-6114</v>
      </c>
      <c r="F177" s="360">
        <f t="shared" si="8"/>
        <v>36.747361887026692</v>
      </c>
      <c r="G177" s="122" t="s">
        <v>400</v>
      </c>
    </row>
    <row r="178" spans="1:24" ht="63" x14ac:dyDescent="0.25">
      <c r="A178" s="138"/>
      <c r="B178" s="285" t="s">
        <v>509</v>
      </c>
      <c r="C178" s="334">
        <v>54</v>
      </c>
      <c r="D178" s="334">
        <f>D177*100/8723</f>
        <v>40.719935801903013</v>
      </c>
      <c r="E178" s="108">
        <f>D178-C178</f>
        <v>-13.280064198096987</v>
      </c>
      <c r="F178" s="360">
        <f>D178/C178*100</f>
        <v>75.40728852204262</v>
      </c>
      <c r="G178" s="397" t="s">
        <v>705</v>
      </c>
    </row>
    <row r="179" spans="1:24" ht="31.5" customHeight="1" x14ac:dyDescent="0.25">
      <c r="A179" s="225" t="s">
        <v>362</v>
      </c>
      <c r="B179" s="1136" t="s">
        <v>587</v>
      </c>
      <c r="C179" s="1137"/>
      <c r="D179" s="1137"/>
      <c r="E179" s="1137"/>
      <c r="F179" s="1137"/>
      <c r="G179" s="1138"/>
    </row>
    <row r="180" spans="1:24" ht="19.5" hidden="1" customHeight="1" x14ac:dyDescent="0.25">
      <c r="A180" s="137"/>
      <c r="B180" s="308" t="s">
        <v>588</v>
      </c>
      <c r="C180" s="292"/>
      <c r="D180" s="292"/>
      <c r="E180" s="308"/>
      <c r="F180" s="308"/>
      <c r="G180" s="308"/>
    </row>
    <row r="181" spans="1:24" hidden="1" x14ac:dyDescent="0.25">
      <c r="A181" s="138"/>
      <c r="B181" s="285" t="s">
        <v>590</v>
      </c>
      <c r="C181" s="395">
        <v>0</v>
      </c>
      <c r="D181" s="328">
        <v>0</v>
      </c>
      <c r="E181" s="284">
        <v>0</v>
      </c>
      <c r="F181" s="191">
        <v>0</v>
      </c>
      <c r="G181" s="286"/>
    </row>
    <row r="182" spans="1:24" ht="31.5" hidden="1" x14ac:dyDescent="0.25">
      <c r="A182" s="138"/>
      <c r="B182" s="285" t="s">
        <v>591</v>
      </c>
      <c r="C182" s="396">
        <v>0</v>
      </c>
      <c r="D182" s="328"/>
      <c r="E182" s="284"/>
      <c r="F182" s="191"/>
      <c r="G182" s="286"/>
    </row>
    <row r="183" spans="1:24" ht="31.5" hidden="1" x14ac:dyDescent="0.25">
      <c r="A183" s="138"/>
      <c r="B183" s="285" t="s">
        <v>592</v>
      </c>
      <c r="C183" s="395">
        <v>0</v>
      </c>
      <c r="D183" s="328"/>
      <c r="E183" s="284"/>
      <c r="F183" s="191"/>
      <c r="G183" s="286"/>
    </row>
    <row r="184" spans="1:24" ht="31.5" hidden="1" x14ac:dyDescent="0.25">
      <c r="A184" s="138"/>
      <c r="B184" s="285" t="s">
        <v>593</v>
      </c>
      <c r="C184" s="396">
        <v>0</v>
      </c>
      <c r="D184" s="328"/>
      <c r="E184" s="284"/>
      <c r="F184" s="191"/>
      <c r="G184" s="286"/>
    </row>
    <row r="185" spans="1:24" ht="42" customHeight="1" x14ac:dyDescent="0.25">
      <c r="A185" s="138"/>
      <c r="B185" s="307" t="s">
        <v>589</v>
      </c>
      <c r="C185" s="396"/>
      <c r="D185" s="328"/>
      <c r="E185" s="284"/>
      <c r="F185" s="191"/>
      <c r="G185" s="286"/>
    </row>
    <row r="186" spans="1:24" ht="94.5" x14ac:dyDescent="0.25">
      <c r="A186" s="138"/>
      <c r="B186" s="285" t="s">
        <v>594</v>
      </c>
      <c r="C186" s="334">
        <f>'звіт І кв'!E71</f>
        <v>300</v>
      </c>
      <c r="D186" s="334">
        <f>'звіт І кв'!L71</f>
        <v>0</v>
      </c>
      <c r="E186" s="284">
        <f>D186-C186</f>
        <v>-300</v>
      </c>
      <c r="F186" s="191">
        <f>D186/C186*100</f>
        <v>0</v>
      </c>
      <c r="G186" s="122" t="s">
        <v>706</v>
      </c>
    </row>
    <row r="187" spans="1:24" ht="31.5" x14ac:dyDescent="0.25">
      <c r="A187" s="138"/>
      <c r="B187" s="285" t="s">
        <v>595</v>
      </c>
      <c r="C187" s="328">
        <v>10</v>
      </c>
      <c r="D187" s="328">
        <v>0</v>
      </c>
      <c r="E187" s="327">
        <f>D187-C187</f>
        <v>-10</v>
      </c>
      <c r="F187" s="191">
        <f>D187/C187*100</f>
        <v>0</v>
      </c>
      <c r="G187" s="122" t="s">
        <v>400</v>
      </c>
    </row>
    <row r="188" spans="1:24" ht="47.25" x14ac:dyDescent="0.25">
      <c r="A188" s="138"/>
      <c r="B188" s="285" t="s">
        <v>596</v>
      </c>
      <c r="C188" s="334">
        <f>C186/C187</f>
        <v>30</v>
      </c>
      <c r="D188" s="334">
        <v>0</v>
      </c>
      <c r="E188" s="284">
        <f>D188-C188</f>
        <v>-30</v>
      </c>
      <c r="F188" s="191">
        <f>D188/C188*100</f>
        <v>0</v>
      </c>
      <c r="G188" s="122" t="s">
        <v>400</v>
      </c>
    </row>
    <row r="189" spans="1:24" ht="31.5" x14ac:dyDescent="0.25">
      <c r="A189" s="138"/>
      <c r="B189" s="285" t="s">
        <v>597</v>
      </c>
      <c r="C189" s="328">
        <v>100</v>
      </c>
      <c r="D189" s="328">
        <v>0</v>
      </c>
      <c r="E189" s="327">
        <f>D189-C189</f>
        <v>-100</v>
      </c>
      <c r="F189" s="191">
        <f>D189/C189*100</f>
        <v>0</v>
      </c>
      <c r="G189" s="122" t="s">
        <v>400</v>
      </c>
    </row>
    <row r="190" spans="1:24" ht="33" customHeight="1" x14ac:dyDescent="0.25">
      <c r="A190" s="225" t="s">
        <v>367</v>
      </c>
      <c r="B190" s="1136" t="s">
        <v>510</v>
      </c>
      <c r="C190" s="1137"/>
      <c r="D190" s="1137"/>
      <c r="E190" s="1137"/>
      <c r="F190" s="1137"/>
      <c r="G190" s="1138"/>
    </row>
    <row r="191" spans="1:24" s="341" customFormat="1" ht="31.5" x14ac:dyDescent="0.25">
      <c r="A191" s="393"/>
      <c r="B191" s="394" t="s">
        <v>516</v>
      </c>
      <c r="C191" s="334">
        <f>'звіт І кв'!E72</f>
        <v>420</v>
      </c>
      <c r="D191" s="334">
        <f>'звіт 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285" t="s">
        <v>511</v>
      </c>
      <c r="C192" s="328">
        <v>15</v>
      </c>
      <c r="D192" s="328">
        <v>12</v>
      </c>
      <c r="E192" s="329">
        <f>D192-C192</f>
        <v>-3</v>
      </c>
      <c r="F192" s="329">
        <f>D192/C192*100</f>
        <v>80</v>
      </c>
      <c r="G192" s="442" t="s">
        <v>400</v>
      </c>
    </row>
    <row r="193" spans="1:24" ht="47.25" x14ac:dyDescent="0.25">
      <c r="A193" s="138"/>
      <c r="B193" s="285" t="s">
        <v>512</v>
      </c>
      <c r="C193" s="334">
        <f>C191/C192</f>
        <v>28</v>
      </c>
      <c r="D193" s="334">
        <f>D191/D192</f>
        <v>0</v>
      </c>
      <c r="E193" s="335">
        <f>D193-C193</f>
        <v>-28</v>
      </c>
      <c r="F193" s="329">
        <f>D193/C193*100</f>
        <v>0</v>
      </c>
      <c r="G193" s="452" t="s">
        <v>606</v>
      </c>
    </row>
    <row r="194" spans="1:24" ht="47.25" x14ac:dyDescent="0.25">
      <c r="A194" s="138"/>
      <c r="B194" s="285" t="s">
        <v>513</v>
      </c>
      <c r="C194" s="419">
        <v>27</v>
      </c>
      <c r="D194" s="419">
        <f>334/8723*100</f>
        <v>3.8289579273185832</v>
      </c>
      <c r="E194" s="528">
        <f>D194-C194</f>
        <v>-23.171042072681416</v>
      </c>
      <c r="F194" s="329">
        <f>D194/C194*100</f>
        <v>14.181325656735494</v>
      </c>
      <c r="G194" s="442" t="s">
        <v>400</v>
      </c>
    </row>
    <row r="195" spans="1:24" ht="33.75" customHeight="1" x14ac:dyDescent="0.25">
      <c r="A195" s="225" t="s">
        <v>514</v>
      </c>
      <c r="B195" s="1136" t="s">
        <v>515</v>
      </c>
      <c r="C195" s="1137"/>
      <c r="D195" s="1137"/>
      <c r="E195" s="1137"/>
      <c r="F195" s="1137"/>
      <c r="G195" s="1138"/>
    </row>
    <row r="196" spans="1:24" s="341" customFormat="1" x14ac:dyDescent="0.25">
      <c r="A196" s="393"/>
      <c r="B196" s="394" t="s">
        <v>517</v>
      </c>
      <c r="C196" s="334">
        <f>'звіт І кв'!E73</f>
        <v>6841</v>
      </c>
      <c r="D196" s="334">
        <f>'звіт І кв'!I73</f>
        <v>1427.7439999999999</v>
      </c>
      <c r="E196" s="328">
        <f>D196-C196</f>
        <v>-5413.2560000000003</v>
      </c>
      <c r="F196" s="328">
        <f>D196/C196*100</f>
        <v>20.870399064464259</v>
      </c>
      <c r="G196" s="451" t="s">
        <v>400</v>
      </c>
      <c r="H196" s="340"/>
      <c r="I196" s="289"/>
      <c r="J196" s="289"/>
      <c r="K196" s="289"/>
      <c r="L196" s="289"/>
      <c r="M196" s="289"/>
      <c r="N196" s="289"/>
      <c r="O196" s="289"/>
      <c r="P196" s="289"/>
      <c r="Q196" s="289"/>
      <c r="R196" s="289"/>
      <c r="S196" s="289"/>
      <c r="T196" s="289"/>
      <c r="U196" s="289"/>
      <c r="V196" s="289"/>
      <c r="W196" s="289"/>
      <c r="X196" s="289"/>
    </row>
    <row r="197" spans="1:24" ht="31.5" x14ac:dyDescent="0.25">
      <c r="A197" s="138"/>
      <c r="B197" s="285" t="s">
        <v>518</v>
      </c>
      <c r="C197" s="328">
        <v>8950</v>
      </c>
      <c r="D197" s="328">
        <v>418</v>
      </c>
      <c r="E197" s="329">
        <f>D197-C197</f>
        <v>-8532</v>
      </c>
      <c r="F197" s="329">
        <f>D197/C197*100</f>
        <v>4.6703910614525137</v>
      </c>
      <c r="G197" s="442" t="s">
        <v>663</v>
      </c>
    </row>
    <row r="198" spans="1:24" ht="31.5" x14ac:dyDescent="0.25">
      <c r="A198" s="138"/>
      <c r="B198" s="285" t="s">
        <v>519</v>
      </c>
      <c r="C198" s="334">
        <f>C196/C197</f>
        <v>0.76435754189944138</v>
      </c>
      <c r="D198" s="334">
        <f>D196/D197</f>
        <v>3.4156555023923443</v>
      </c>
      <c r="E198" s="527">
        <f>D198-C198</f>
        <v>2.651297960492903</v>
      </c>
      <c r="F198" s="329">
        <f>D198/C198*100</f>
        <v>446.86620006448584</v>
      </c>
      <c r="G198" s="452" t="s">
        <v>400</v>
      </c>
    </row>
    <row r="199" spans="1:24" ht="63" x14ac:dyDescent="0.25">
      <c r="A199" s="138"/>
      <c r="B199" s="285" t="s">
        <v>520</v>
      </c>
      <c r="C199" s="419">
        <v>50</v>
      </c>
      <c r="D199" s="419">
        <f>D197/12591*100</f>
        <v>3.3198316257644347</v>
      </c>
      <c r="E199" s="528">
        <f>D199-C199</f>
        <v>-46.680168374235564</v>
      </c>
      <c r="F199" s="329">
        <f>D199/C199*100</f>
        <v>6.6396632515288694</v>
      </c>
      <c r="G199" s="452" t="s">
        <v>400</v>
      </c>
    </row>
    <row r="200" spans="1:24" s="198" customFormat="1" ht="21.75" customHeight="1" x14ac:dyDescent="0.25">
      <c r="A200" s="287" t="s">
        <v>379</v>
      </c>
      <c r="B200" s="1179" t="s">
        <v>154</v>
      </c>
      <c r="C200" s="1180"/>
      <c r="D200" s="1180"/>
      <c r="E200" s="1180"/>
      <c r="F200" s="1180"/>
      <c r="G200" s="1181"/>
      <c r="H200" s="323"/>
      <c r="I200" s="124"/>
      <c r="J200" s="124"/>
      <c r="K200" s="124"/>
      <c r="L200" s="124"/>
      <c r="M200" s="124"/>
      <c r="N200" s="234"/>
      <c r="O200" s="234"/>
      <c r="P200" s="234"/>
      <c r="Q200" s="234"/>
      <c r="R200" s="234"/>
      <c r="S200" s="234"/>
      <c r="T200" s="234"/>
      <c r="U200" s="234"/>
      <c r="V200" s="234"/>
      <c r="W200" s="234"/>
      <c r="X200" s="234"/>
    </row>
    <row r="201" spans="1:24" s="290" customFormat="1" x14ac:dyDescent="0.25">
      <c r="A201" s="291"/>
      <c r="B201" s="293" t="s">
        <v>521</v>
      </c>
      <c r="C201" s="108">
        <f>'звіт І кв'!E75</f>
        <v>58952.05</v>
      </c>
      <c r="D201" s="108">
        <v>13280.322069999998</v>
      </c>
      <c r="E201" s="108">
        <f>D201-C201</f>
        <v>-45671.727930000008</v>
      </c>
      <c r="F201" s="360">
        <f>D201/C201*100</f>
        <v>22.527328684922743</v>
      </c>
      <c r="G201" s="442" t="s">
        <v>400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41" t="s">
        <v>156</v>
      </c>
      <c r="C202" s="1142"/>
      <c r="D202" s="1142"/>
      <c r="E202" s="1142"/>
      <c r="F202" s="1142"/>
      <c r="G202" s="1143"/>
      <c r="H202" s="323"/>
      <c r="I202" s="124"/>
      <c r="J202" s="124"/>
      <c r="K202" s="124"/>
      <c r="L202" s="124"/>
      <c r="M202" s="124"/>
      <c r="N202" s="234"/>
      <c r="O202" s="234"/>
      <c r="P202" s="234"/>
      <c r="Q202" s="234"/>
      <c r="R202" s="234"/>
      <c r="S202" s="234"/>
      <c r="T202" s="234"/>
      <c r="U202" s="234"/>
      <c r="V202" s="234"/>
      <c r="W202" s="234"/>
      <c r="X202" s="234"/>
    </row>
    <row r="203" spans="1:24" s="198" customFormat="1" ht="20.25" customHeight="1" x14ac:dyDescent="0.25">
      <c r="A203" s="235"/>
      <c r="B203" s="429" t="s">
        <v>522</v>
      </c>
      <c r="C203" s="292"/>
      <c r="D203" s="292"/>
      <c r="E203" s="429"/>
      <c r="F203" s="429"/>
      <c r="G203" s="429"/>
      <c r="H203" s="323"/>
      <c r="I203" s="124"/>
      <c r="J203" s="124"/>
      <c r="K203" s="124"/>
      <c r="L203" s="124"/>
      <c r="M203" s="124"/>
      <c r="N203" s="234"/>
      <c r="O203" s="234"/>
      <c r="P203" s="234"/>
      <c r="Q203" s="234"/>
      <c r="R203" s="234"/>
      <c r="S203" s="234"/>
      <c r="T203" s="234"/>
      <c r="U203" s="234"/>
      <c r="V203" s="234"/>
      <c r="W203" s="234"/>
      <c r="X203" s="234"/>
    </row>
    <row r="204" spans="1:24" s="198" customFormat="1" ht="47.25" x14ac:dyDescent="0.25">
      <c r="A204" s="235"/>
      <c r="B204" s="193" t="s">
        <v>523</v>
      </c>
      <c r="C204" s="318">
        <v>13600</v>
      </c>
      <c r="D204" s="318">
        <v>3866</v>
      </c>
      <c r="E204" s="191">
        <f>D204-C204</f>
        <v>-9734</v>
      </c>
      <c r="F204" s="147">
        <f>D204/C204*100</f>
        <v>28.426470588235293</v>
      </c>
      <c r="G204" s="452" t="s">
        <v>400</v>
      </c>
      <c r="H204" s="323"/>
      <c r="I204" s="124"/>
      <c r="J204" s="124"/>
      <c r="K204" s="124"/>
      <c r="L204" s="124"/>
      <c r="M204" s="124"/>
      <c r="N204" s="234"/>
      <c r="O204" s="234"/>
      <c r="P204" s="234"/>
      <c r="Q204" s="234"/>
      <c r="R204" s="234"/>
      <c r="S204" s="234"/>
      <c r="T204" s="234"/>
      <c r="U204" s="234"/>
      <c r="V204" s="234"/>
      <c r="W204" s="234"/>
      <c r="X204" s="234"/>
    </row>
    <row r="205" spans="1:24" s="198" customFormat="1" ht="47.25" x14ac:dyDescent="0.25">
      <c r="A205" s="235"/>
      <c r="B205" s="193" t="s">
        <v>524</v>
      </c>
      <c r="C205" s="318">
        <v>15000</v>
      </c>
      <c r="D205" s="318">
        <v>1510</v>
      </c>
      <c r="E205" s="191">
        <f t="shared" ref="E205:E215" si="9">D205-C205</f>
        <v>-13490</v>
      </c>
      <c r="F205" s="192">
        <f t="shared" ref="F205:F215" si="10">D205/C205*100</f>
        <v>10.066666666666666</v>
      </c>
      <c r="G205" s="452" t="s">
        <v>400</v>
      </c>
      <c r="H205" s="323"/>
      <c r="I205" s="124"/>
      <c r="J205" s="124"/>
      <c r="K205" s="124"/>
      <c r="L205" s="124"/>
      <c r="M205" s="124"/>
      <c r="N205" s="234"/>
      <c r="O205" s="234"/>
      <c r="P205" s="234"/>
      <c r="Q205" s="234"/>
      <c r="R205" s="234"/>
      <c r="S205" s="234"/>
      <c r="T205" s="234"/>
      <c r="U205" s="234"/>
      <c r="V205" s="234"/>
      <c r="W205" s="234"/>
      <c r="X205" s="234"/>
    </row>
    <row r="206" spans="1:24" s="198" customFormat="1" x14ac:dyDescent="0.25">
      <c r="A206" s="235"/>
      <c r="B206" s="429" t="s">
        <v>525</v>
      </c>
      <c r="C206" s="368"/>
      <c r="D206" s="318"/>
      <c r="E206" s="191"/>
      <c r="F206" s="191"/>
      <c r="G206" s="193"/>
      <c r="H206" s="322"/>
      <c r="I206" s="278"/>
      <c r="J206" s="278"/>
      <c r="K206" s="278"/>
      <c r="L206" s="278"/>
      <c r="M206" s="278"/>
      <c r="N206" s="281"/>
      <c r="O206" s="281"/>
      <c r="P206" s="281"/>
      <c r="Q206" s="281"/>
      <c r="R206" s="281"/>
      <c r="S206" s="281"/>
      <c r="T206" s="281"/>
      <c r="U206" s="281"/>
      <c r="V206" s="281"/>
      <c r="W206" s="281"/>
      <c r="X206" s="281"/>
    </row>
    <row r="207" spans="1:24" s="198" customFormat="1" ht="31.5" x14ac:dyDescent="0.25">
      <c r="A207" s="235"/>
      <c r="B207" s="294" t="s">
        <v>529</v>
      </c>
      <c r="C207" s="421">
        <v>15000</v>
      </c>
      <c r="D207" s="318">
        <v>6091</v>
      </c>
      <c r="E207" s="191">
        <f t="shared" si="9"/>
        <v>-8909</v>
      </c>
      <c r="F207" s="192">
        <f t="shared" si="10"/>
        <v>40.606666666666669</v>
      </c>
      <c r="G207" s="452" t="s">
        <v>400</v>
      </c>
      <c r="H207" s="322"/>
      <c r="I207" s="278"/>
      <c r="J207" s="278"/>
      <c r="K207" s="278"/>
      <c r="L207" s="278"/>
      <c r="M207" s="278"/>
      <c r="N207" s="281"/>
      <c r="O207" s="281"/>
      <c r="P207" s="281"/>
      <c r="Q207" s="281"/>
      <c r="R207" s="281"/>
      <c r="S207" s="281"/>
      <c r="T207" s="281"/>
      <c r="U207" s="281"/>
      <c r="V207" s="281"/>
      <c r="W207" s="281"/>
      <c r="X207" s="281"/>
    </row>
    <row r="208" spans="1:24" s="198" customFormat="1" x14ac:dyDescent="0.25">
      <c r="A208" s="235"/>
      <c r="B208" s="429" t="s">
        <v>528</v>
      </c>
      <c r="C208" s="368"/>
      <c r="D208" s="318"/>
      <c r="E208" s="191"/>
      <c r="F208" s="191"/>
      <c r="G208" s="193"/>
      <c r="H208" s="322"/>
      <c r="I208" s="278"/>
      <c r="J208" s="278"/>
      <c r="K208" s="278"/>
      <c r="L208" s="278"/>
      <c r="M208" s="278"/>
      <c r="N208" s="281"/>
      <c r="O208" s="281"/>
      <c r="P208" s="281"/>
      <c r="Q208" s="281"/>
      <c r="R208" s="281"/>
      <c r="S208" s="281"/>
      <c r="T208" s="281"/>
      <c r="U208" s="281"/>
      <c r="V208" s="281"/>
      <c r="W208" s="281"/>
      <c r="X208" s="281"/>
    </row>
    <row r="209" spans="1:24" s="198" customFormat="1" ht="31.5" x14ac:dyDescent="0.25">
      <c r="A209" s="235"/>
      <c r="B209" s="279" t="s">
        <v>530</v>
      </c>
      <c r="C209" s="422">
        <v>35800</v>
      </c>
      <c r="D209" s="318">
        <v>6395</v>
      </c>
      <c r="E209" s="191">
        <f t="shared" si="9"/>
        <v>-29405</v>
      </c>
      <c r="F209" s="192">
        <f t="shared" si="10"/>
        <v>17.863128491620113</v>
      </c>
      <c r="G209" s="452" t="s">
        <v>400</v>
      </c>
      <c r="H209" s="322"/>
      <c r="I209" s="278"/>
      <c r="J209" s="278"/>
      <c r="K209" s="278"/>
      <c r="L209" s="278"/>
      <c r="M209" s="278"/>
      <c r="N209" s="281"/>
      <c r="O209" s="281"/>
      <c r="P209" s="281"/>
      <c r="Q209" s="281"/>
      <c r="R209" s="281"/>
      <c r="S209" s="281"/>
      <c r="T209" s="281"/>
      <c r="U209" s="281"/>
      <c r="V209" s="281"/>
      <c r="W209" s="281"/>
      <c r="X209" s="281"/>
    </row>
    <row r="210" spans="1:24" s="198" customFormat="1" x14ac:dyDescent="0.25">
      <c r="A210" s="235"/>
      <c r="B210" s="261" t="s">
        <v>526</v>
      </c>
      <c r="C210" s="368"/>
      <c r="D210" s="318"/>
      <c r="E210" s="191"/>
      <c r="F210" s="191"/>
      <c r="G210" s="193"/>
      <c r="H210" s="322"/>
      <c r="I210" s="278"/>
      <c r="J210" s="278"/>
      <c r="K210" s="278"/>
      <c r="L210" s="278"/>
      <c r="M210" s="278"/>
      <c r="N210" s="281"/>
      <c r="O210" s="281"/>
      <c r="P210" s="281"/>
      <c r="Q210" s="281"/>
      <c r="R210" s="281"/>
      <c r="S210" s="281"/>
      <c r="T210" s="281"/>
      <c r="U210" s="281"/>
      <c r="V210" s="281"/>
      <c r="W210" s="281"/>
      <c r="X210" s="281"/>
    </row>
    <row r="211" spans="1:24" s="198" customFormat="1" ht="47.25" x14ac:dyDescent="0.25">
      <c r="A211" s="235"/>
      <c r="B211" s="279" t="s">
        <v>531</v>
      </c>
      <c r="C211" s="422">
        <v>35800</v>
      </c>
      <c r="D211" s="318">
        <v>2378</v>
      </c>
      <c r="E211" s="191">
        <f t="shared" si="9"/>
        <v>-33422</v>
      </c>
      <c r="F211" s="192">
        <f t="shared" si="10"/>
        <v>6.6424581005586596</v>
      </c>
      <c r="G211" s="193" t="s">
        <v>607</v>
      </c>
      <c r="H211" s="322"/>
      <c r="I211" s="278"/>
      <c r="J211" s="278"/>
      <c r="K211" s="278"/>
      <c r="L211" s="278"/>
      <c r="M211" s="278"/>
      <c r="N211" s="281"/>
      <c r="O211" s="281"/>
      <c r="P211" s="281"/>
      <c r="Q211" s="281"/>
      <c r="R211" s="281"/>
      <c r="S211" s="281"/>
      <c r="T211" s="281"/>
      <c r="U211" s="281"/>
      <c r="V211" s="281"/>
      <c r="W211" s="281"/>
      <c r="X211" s="281"/>
    </row>
    <row r="212" spans="1:24" s="198" customFormat="1" ht="31.5" x14ac:dyDescent="0.25">
      <c r="A212" s="235"/>
      <c r="B212" s="261"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262" t="s">
        <v>533</v>
      </c>
      <c r="C214" s="330">
        <v>3.75</v>
      </c>
      <c r="D214" s="330">
        <f>D201/D169</f>
        <v>1.491668209592272</v>
      </c>
      <c r="E214" s="203">
        <f t="shared" si="9"/>
        <v>-2.2583317904077278</v>
      </c>
      <c r="F214" s="192">
        <f t="shared" si="10"/>
        <v>39.777818922460582</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262" t="s">
        <v>534</v>
      </c>
      <c r="C215" s="318">
        <v>90</v>
      </c>
      <c r="D215" s="318">
        <v>91.4</v>
      </c>
      <c r="E215" s="526">
        <f t="shared" si="9"/>
        <v>1.4000000000000057</v>
      </c>
      <c r="F215" s="192">
        <f t="shared" si="10"/>
        <v>101.55555555555556</v>
      </c>
      <c r="G215" s="325" t="s">
        <v>664</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41" t="s">
        <v>535</v>
      </c>
      <c r="C216" s="1142"/>
      <c r="D216" s="1142"/>
      <c r="E216" s="1142"/>
      <c r="F216" s="1142"/>
      <c r="G216" s="1143"/>
    </row>
    <row r="217" spans="1:24" ht="68.25" customHeight="1" x14ac:dyDescent="0.25">
      <c r="A217" s="213"/>
      <c r="B217" s="259" t="s">
        <v>536</v>
      </c>
      <c r="C217" s="332">
        <v>1680</v>
      </c>
      <c r="D217" s="332">
        <v>2093</v>
      </c>
      <c r="E217" s="143">
        <f>D217-C217</f>
        <v>413</v>
      </c>
      <c r="F217" s="143">
        <f>D217/C217*100</f>
        <v>124.58333333333333</v>
      </c>
      <c r="G217" s="193" t="s">
        <v>708</v>
      </c>
    </row>
    <row r="218" spans="1:24" ht="110.25" x14ac:dyDescent="0.25">
      <c r="A218" s="210"/>
      <c r="B218" s="259" t="s">
        <v>537</v>
      </c>
      <c r="C218" s="336">
        <v>92</v>
      </c>
      <c r="D218" s="336" t="s">
        <v>653</v>
      </c>
      <c r="E218" s="143" t="s">
        <v>653</v>
      </c>
      <c r="F218" s="143" t="s">
        <v>653</v>
      </c>
      <c r="G218" s="442" t="s">
        <v>707</v>
      </c>
    </row>
    <row r="219" spans="1:24" ht="36.75" customHeight="1" x14ac:dyDescent="0.25">
      <c r="A219" s="208" t="s">
        <v>384</v>
      </c>
      <c r="B219" s="1136" t="s">
        <v>538</v>
      </c>
      <c r="C219" s="1137"/>
      <c r="D219" s="1137"/>
      <c r="E219" s="1137"/>
      <c r="F219" s="1137"/>
      <c r="G219" s="1138"/>
    </row>
    <row r="220" spans="1:24" s="341" customFormat="1" x14ac:dyDescent="0.25">
      <c r="A220" s="398"/>
      <c r="B220" s="453" t="s">
        <v>517</v>
      </c>
      <c r="C220" s="108">
        <f>'звіт 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318">
        <v>5</v>
      </c>
      <c r="D221" s="336">
        <v>0</v>
      </c>
      <c r="E221" s="117">
        <f>D221-C221</f>
        <v>-5</v>
      </c>
      <c r="F221" s="143">
        <f>D221/C221*100</f>
        <v>0</v>
      </c>
      <c r="G221" s="442" t="s">
        <v>685</v>
      </c>
    </row>
    <row r="222" spans="1:24" ht="31.5" x14ac:dyDescent="0.25">
      <c r="A222" s="207"/>
      <c r="B222" s="454" t="s">
        <v>676</v>
      </c>
      <c r="C222" s="318">
        <f>C220/C221</f>
        <v>57.6</v>
      </c>
      <c r="D222" s="391">
        <v>0</v>
      </c>
      <c r="E222" s="117">
        <f>D222-C222</f>
        <v>-57.6</v>
      </c>
      <c r="F222" s="143">
        <f>D222/C222*100</f>
        <v>0</v>
      </c>
      <c r="G222" s="442" t="s">
        <v>685</v>
      </c>
    </row>
    <row r="223" spans="1:24" ht="47.25" x14ac:dyDescent="0.25">
      <c r="A223" s="207"/>
      <c r="B223" s="454" t="s">
        <v>677</v>
      </c>
      <c r="C223" s="318">
        <v>16</v>
      </c>
      <c r="D223" s="336">
        <v>0</v>
      </c>
      <c r="E223" s="117">
        <f>D223-C223</f>
        <v>-16</v>
      </c>
      <c r="F223" s="143">
        <f>D223/C223*100</f>
        <v>0</v>
      </c>
      <c r="G223" s="442" t="s">
        <v>685</v>
      </c>
    </row>
    <row r="224" spans="1:24" x14ac:dyDescent="0.25">
      <c r="A224" s="211" t="s">
        <v>163</v>
      </c>
      <c r="B224" s="1133" t="s">
        <v>539</v>
      </c>
      <c r="C224" s="1134"/>
      <c r="D224" s="1134"/>
      <c r="E224" s="1134"/>
      <c r="F224" s="1134"/>
      <c r="G224" s="1135"/>
    </row>
    <row r="225" spans="1:7" ht="47.25" x14ac:dyDescent="0.25">
      <c r="A225" s="213"/>
      <c r="B225" s="430" t="s">
        <v>540</v>
      </c>
      <c r="C225" s="336">
        <v>20</v>
      </c>
      <c r="D225" s="336">
        <v>1</v>
      </c>
      <c r="E225" s="117">
        <f>D225-C225</f>
        <v>-19</v>
      </c>
      <c r="F225" s="143">
        <f>D225/C225*100</f>
        <v>5</v>
      </c>
      <c r="G225" s="442" t="s">
        <v>709</v>
      </c>
    </row>
    <row r="226" spans="1:7" ht="47.25" x14ac:dyDescent="0.25">
      <c r="A226" s="209"/>
      <c r="B226" s="430" t="s">
        <v>541</v>
      </c>
      <c r="C226" s="336">
        <v>100</v>
      </c>
      <c r="D226" s="351">
        <v>100</v>
      </c>
      <c r="E226" s="236">
        <f>D226-C226</f>
        <v>0</v>
      </c>
      <c r="F226" s="143">
        <f>D226/C226*100</f>
        <v>100</v>
      </c>
      <c r="G226" s="442" t="s">
        <v>400</v>
      </c>
    </row>
    <row r="227" spans="1:7" ht="47.25" x14ac:dyDescent="0.25">
      <c r="A227" s="210"/>
      <c r="B227" s="430" t="s">
        <v>236</v>
      </c>
      <c r="C227" s="336">
        <v>100</v>
      </c>
      <c r="D227" s="336">
        <v>100</v>
      </c>
      <c r="E227" s="117">
        <f>D227-C227</f>
        <v>0</v>
      </c>
      <c r="F227" s="143">
        <f>D227/C227*100</f>
        <v>100</v>
      </c>
      <c r="G227" s="442" t="s">
        <v>400</v>
      </c>
    </row>
    <row r="228" spans="1:7" x14ac:dyDescent="0.25">
      <c r="A228" s="125"/>
    </row>
    <row r="229" spans="1:7" x14ac:dyDescent="0.25">
      <c r="A229" s="125"/>
    </row>
    <row r="230" spans="1:7" x14ac:dyDescent="0.25">
      <c r="A230" s="125"/>
      <c r="B230" s="237" t="s">
        <v>406</v>
      </c>
      <c r="C230" s="415" t="s">
        <v>407</v>
      </c>
    </row>
    <row r="231" spans="1:7" ht="43.5" customHeight="1" x14ac:dyDescent="0.25">
      <c r="A231" s="125"/>
    </row>
    <row r="232" spans="1:7" ht="16.5" customHeight="1" x14ac:dyDescent="0.25">
      <c r="A232" s="125"/>
      <c r="B232" s="237" t="s">
        <v>408</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A8:G8"/>
    <mergeCell ref="A9:G9"/>
    <mergeCell ref="A11:A12"/>
    <mergeCell ref="B11:B12"/>
    <mergeCell ref="C11:D11"/>
    <mergeCell ref="E11:E12"/>
    <mergeCell ref="F11:F12"/>
    <mergeCell ref="G11:G12"/>
    <mergeCell ref="B36:G36"/>
    <mergeCell ref="B41:G41"/>
    <mergeCell ref="B46:G46"/>
    <mergeCell ref="B51:G51"/>
    <mergeCell ref="B14:G14"/>
    <mergeCell ref="B15:G15"/>
    <mergeCell ref="B20:G20"/>
    <mergeCell ref="B25:G25"/>
    <mergeCell ref="B30:G30"/>
    <mergeCell ref="B33:G33"/>
    <mergeCell ref="B80:G80"/>
    <mergeCell ref="B87:G87"/>
    <mergeCell ref="B90:G90"/>
    <mergeCell ref="B64:G64"/>
    <mergeCell ref="B74:G74"/>
    <mergeCell ref="B79:G79"/>
    <mergeCell ref="B136:G136"/>
    <mergeCell ref="B95:G95"/>
    <mergeCell ref="B98:G98"/>
    <mergeCell ref="B100:G100"/>
    <mergeCell ref="B105:G105"/>
    <mergeCell ref="B110:G110"/>
    <mergeCell ref="B111:G111"/>
    <mergeCell ref="B160:G160"/>
    <mergeCell ref="B165:G165"/>
    <mergeCell ref="B166:G166"/>
    <mergeCell ref="B141:G141"/>
    <mergeCell ref="B146:G146"/>
    <mergeCell ref="B179:G179"/>
    <mergeCell ref="B224:G224"/>
    <mergeCell ref="B190:G190"/>
    <mergeCell ref="B195:G195"/>
    <mergeCell ref="B200:G200"/>
    <mergeCell ref="B202:G202"/>
    <mergeCell ref="B216:G216"/>
    <mergeCell ref="B219:G219"/>
  </mergeCells>
  <pageMargins left="0.25" right="0.25" top="0.75" bottom="0.75" header="0.3" footer="0.3"/>
  <pageSetup paperSize="9" scale="85" orientation="landscape" r:id="rId1"/>
  <ignoredErrors>
    <ignoredError sqref="E8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10</vt:i4>
      </vt:variant>
    </vt:vector>
  </HeadingPairs>
  <TitlesOfParts>
    <vt:vector size="27" baseType="lpstr">
      <vt:lpstr>титул ІІ кв</vt:lpstr>
      <vt:lpstr>звіт 6 міс</vt:lpstr>
      <vt:lpstr>показники 6 міс</vt:lpstr>
      <vt:lpstr>титул 9 міс</vt:lpstr>
      <vt:lpstr>звіт 9 міс</vt:lpstr>
      <vt:lpstr>показники 9 міс</vt:lpstr>
      <vt:lpstr>2019</vt:lpstr>
      <vt:lpstr>звіт І кв</vt:lpstr>
      <vt:lpstr>показники І кв</vt:lpstr>
      <vt:lpstr>Лист4</vt:lpstr>
      <vt:lpstr>звіт ІІ кв</vt:lpstr>
      <vt:lpstr>показники ІІ кв</vt:lpstr>
      <vt:lpstr>звіт ІІІ кв</vt:lpstr>
      <vt:lpstr>показники ІІІ кв</vt:lpstr>
      <vt:lpstr>фін-ня І кварта 2019 року</vt:lpstr>
      <vt:lpstr>фін-ня ІІІ кварта 2019 року</vt:lpstr>
      <vt:lpstr>показники ІІІ кв 2019</vt:lpstr>
      <vt:lpstr>'2019'!Область_друку</vt:lpstr>
      <vt:lpstr>'звіт І кв'!Область_друку</vt:lpstr>
      <vt:lpstr>'звіт ІІ кв'!Область_друку</vt:lpstr>
      <vt:lpstr>'звіт ІІІ кв'!Область_друку</vt:lpstr>
      <vt:lpstr>'показники 6 міс'!Область_друку</vt:lpstr>
      <vt:lpstr>'показники І кв'!Область_друку</vt:lpstr>
      <vt:lpstr>'показники ІІ кв'!Область_друку</vt:lpstr>
      <vt:lpstr>'показники ІІІ кв'!Область_друку</vt:lpstr>
      <vt:lpstr>'титул ІІ кв'!Область_друку</vt:lpstr>
      <vt:lpstr>'показники 6 міс'!станвиконаннязаходів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2017-07-19T09:14:21Z</cp:lastPrinted>
  <dcterms:created xsi:type="dcterms:W3CDTF">2006-09-28T05:33:49Z</dcterms:created>
  <dcterms:modified xsi:type="dcterms:W3CDTF">2019-11-04T08:41:46Z</dcterms:modified>
</cp:coreProperties>
</file>