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КМР_Програма 2024-2025\"/>
    </mc:Choice>
  </mc:AlternateContent>
  <bookViews>
    <workbookView xWindow="0" yWindow="0" windowWidth="28800" windowHeight="12300"/>
  </bookViews>
  <sheets>
    <sheet name="фінансування" sheetId="1" r:id="rId1"/>
  </sheets>
  <definedNames>
    <definedName name="_xlnm.Print_Titles" localSheetId="0">фінансування!$11:$11</definedName>
    <definedName name="_xlnm.Print_Area" localSheetId="0">фінансування!$A$1:$K$378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7" i="1" l="1"/>
  <c r="H53" i="1"/>
  <c r="H49" i="1"/>
  <c r="H45" i="1"/>
  <c r="H41" i="1"/>
  <c r="H37" i="1"/>
  <c r="H33" i="1"/>
  <c r="H29" i="1"/>
  <c r="H25" i="1"/>
  <c r="H17" i="1"/>
  <c r="H13" i="1"/>
  <c r="K215" i="1" l="1"/>
  <c r="J215" i="1"/>
  <c r="K212" i="1"/>
  <c r="J212" i="1"/>
  <c r="H211" i="1"/>
  <c r="H210" i="1" s="1"/>
  <c r="K208" i="1"/>
  <c r="J208" i="1"/>
  <c r="H208" i="1"/>
  <c r="H207" i="1"/>
  <c r="H206" i="1"/>
  <c r="J59" i="1"/>
  <c r="H59" i="1"/>
  <c r="K57" i="1"/>
  <c r="K59" i="1" s="1"/>
  <c r="J57" i="1"/>
  <c r="H58" i="1" s="1"/>
  <c r="J27" i="1"/>
  <c r="K26" i="1"/>
  <c r="J26" i="1"/>
  <c r="H26" i="1"/>
  <c r="K25" i="1"/>
  <c r="K27" i="1" s="1"/>
  <c r="J25" i="1"/>
  <c r="H27" i="1" l="1"/>
  <c r="H178" i="1"/>
  <c r="K181" i="1"/>
  <c r="K179" i="1"/>
  <c r="J179" i="1"/>
  <c r="K180" i="1"/>
  <c r="J180" i="1"/>
  <c r="K89" i="1" l="1"/>
  <c r="J89" i="1"/>
  <c r="K114" i="1" l="1"/>
  <c r="K113" i="1"/>
  <c r="J113" i="1"/>
  <c r="J112" i="1"/>
  <c r="K112" i="1"/>
  <c r="K318" i="1" l="1"/>
  <c r="J317" i="1"/>
  <c r="K228" i="1" l="1"/>
  <c r="K236" i="1" l="1"/>
  <c r="K232" i="1"/>
  <c r="K96" i="1" l="1"/>
  <c r="J45" i="1" l="1"/>
  <c r="J285" i="1" l="1"/>
  <c r="K285" i="1" l="1"/>
  <c r="J290" i="1"/>
  <c r="K45" i="1"/>
  <c r="K46" i="1"/>
  <c r="K41" i="1"/>
  <c r="J41" i="1"/>
  <c r="K42" i="1"/>
  <c r="J42" i="1"/>
  <c r="K334" i="1" l="1"/>
  <c r="J334" i="1"/>
  <c r="H334" i="1"/>
  <c r="H333" i="1"/>
  <c r="K162" i="1"/>
  <c r="H332" i="1" l="1"/>
  <c r="K278" i="1"/>
  <c r="J278" i="1"/>
  <c r="K171" i="1" l="1"/>
  <c r="K132" i="1"/>
  <c r="K90" i="1"/>
  <c r="K95" i="1" s="1"/>
  <c r="K80" i="1" l="1"/>
  <c r="J80" i="1" l="1"/>
  <c r="K75" i="1" l="1"/>
  <c r="J75" i="1"/>
  <c r="H75" i="1"/>
  <c r="H74" i="1"/>
  <c r="H73" i="1" l="1"/>
  <c r="K353" i="1" l="1"/>
  <c r="J353" i="1"/>
  <c r="H353" i="1"/>
  <c r="H352" i="1"/>
  <c r="H351" i="1" l="1"/>
  <c r="K103" i="1"/>
  <c r="J103" i="1"/>
  <c r="H103" i="1"/>
  <c r="H102" i="1"/>
  <c r="H101" i="1" l="1"/>
  <c r="K159" i="1"/>
  <c r="K69" i="1" l="1"/>
  <c r="J69" i="1"/>
  <c r="J71" i="1" s="1"/>
  <c r="K33" i="1"/>
  <c r="J33" i="1"/>
  <c r="K30" i="1" l="1"/>
  <c r="J30" i="1"/>
  <c r="K29" i="1"/>
  <c r="J29" i="1"/>
  <c r="K22" i="1"/>
  <c r="J22" i="1"/>
  <c r="K21" i="1"/>
  <c r="J21" i="1"/>
  <c r="K13" i="1"/>
  <c r="J13" i="1"/>
  <c r="K14" i="1"/>
  <c r="J14" i="1"/>
  <c r="J15" i="1" l="1"/>
  <c r="J23" i="1"/>
  <c r="K15" i="1"/>
  <c r="K185" i="1"/>
  <c r="J185" i="1"/>
  <c r="H185" i="1"/>
  <c r="F190" i="1" s="1"/>
  <c r="H184" i="1"/>
  <c r="H183" i="1" l="1"/>
  <c r="H106" i="1" l="1"/>
  <c r="H107" i="1"/>
  <c r="J107" i="1"/>
  <c r="K107" i="1"/>
  <c r="H105" i="1" l="1"/>
  <c r="H177" i="1" l="1"/>
  <c r="F189" i="1" s="1"/>
  <c r="H176" i="1" l="1"/>
  <c r="K327" i="1" l="1"/>
  <c r="K314" i="1"/>
  <c r="J95" i="1" l="1"/>
  <c r="H92" i="1"/>
  <c r="K145" i="1" l="1"/>
  <c r="K150" i="1" s="1"/>
  <c r="J145" i="1" l="1"/>
  <c r="J150" i="1" s="1"/>
  <c r="K152" i="1"/>
  <c r="J152" i="1"/>
  <c r="H154" i="1" l="1"/>
  <c r="K292" i="1" l="1"/>
  <c r="J292" i="1"/>
  <c r="J295" i="1" s="1"/>
  <c r="K43" i="1" l="1"/>
  <c r="J43" i="1"/>
  <c r="H43" i="1"/>
  <c r="H42" i="1"/>
  <c r="J165" i="1" l="1"/>
  <c r="H165" i="1"/>
  <c r="H164" i="1"/>
  <c r="H163" i="1" l="1"/>
  <c r="K291" i="1"/>
  <c r="K290" i="1"/>
  <c r="K277" i="1" l="1"/>
  <c r="J277" i="1"/>
  <c r="J283" i="1"/>
  <c r="K283" i="1"/>
  <c r="K284" i="1"/>
  <c r="K280" i="1" l="1"/>
  <c r="H287" i="1"/>
  <c r="H227" i="1" l="1"/>
  <c r="H279" i="1"/>
  <c r="K279" i="1"/>
  <c r="J279" i="1"/>
  <c r="H278" i="1"/>
  <c r="H231" i="1"/>
  <c r="H230" i="1"/>
  <c r="K231" i="1"/>
  <c r="J231" i="1"/>
  <c r="H277" i="1" l="1"/>
  <c r="H229" i="1"/>
  <c r="K264" i="1"/>
  <c r="K201" i="1"/>
  <c r="K295" i="1" l="1"/>
  <c r="H294" i="1"/>
  <c r="H293" i="1"/>
  <c r="H286" i="1"/>
  <c r="H283" i="1"/>
  <c r="H282" i="1"/>
  <c r="K275" i="1"/>
  <c r="J275" i="1"/>
  <c r="H275" i="1"/>
  <c r="H274" i="1"/>
  <c r="K271" i="1"/>
  <c r="J271" i="1"/>
  <c r="H271" i="1"/>
  <c r="H270" i="1"/>
  <c r="K267" i="1"/>
  <c r="J267" i="1"/>
  <c r="H267" i="1"/>
  <c r="H266" i="1"/>
  <c r="H265" i="1" l="1"/>
  <c r="H269" i="1"/>
  <c r="H281" i="1"/>
  <c r="H292" i="1"/>
  <c r="H285" i="1"/>
  <c r="H273" i="1"/>
  <c r="K154" i="1" l="1"/>
  <c r="K157" i="1" s="1"/>
  <c r="J154" i="1"/>
  <c r="J157" i="1" s="1"/>
  <c r="K147" i="1"/>
  <c r="J147" i="1"/>
  <c r="K158" i="1" l="1"/>
  <c r="K357" i="1"/>
  <c r="J357" i="1"/>
  <c r="K255" i="1"/>
  <c r="J255" i="1"/>
  <c r="H255" i="1"/>
  <c r="H254" i="1"/>
  <c r="K251" i="1"/>
  <c r="J251" i="1"/>
  <c r="H251" i="1"/>
  <c r="H250" i="1"/>
  <c r="K247" i="1"/>
  <c r="J247" i="1"/>
  <c r="H245" i="1"/>
  <c r="H244" i="1"/>
  <c r="K242" i="1"/>
  <c r="K241" i="1"/>
  <c r="J241" i="1"/>
  <c r="H238" i="1"/>
  <c r="H249" i="1" l="1"/>
  <c r="H243" i="1"/>
  <c r="H253" i="1"/>
  <c r="H237" i="1"/>
  <c r="J227" i="1"/>
  <c r="J349" i="1" l="1"/>
  <c r="H131" i="1" l="1"/>
  <c r="K131" i="1"/>
  <c r="J131" i="1"/>
  <c r="K170" i="1" l="1"/>
  <c r="J170" i="1"/>
  <c r="H169" i="1"/>
  <c r="H168" i="1"/>
  <c r="J161" i="1"/>
  <c r="H161" i="1"/>
  <c r="K161" i="1"/>
  <c r="H160" i="1"/>
  <c r="H153" i="1"/>
  <c r="H147" i="1"/>
  <c r="H146" i="1"/>
  <c r="H145" i="1" l="1"/>
  <c r="H152" i="1"/>
  <c r="H159" i="1"/>
  <c r="H167" i="1"/>
  <c r="K309" i="1"/>
  <c r="J309" i="1"/>
  <c r="K135" i="1" l="1"/>
  <c r="J135" i="1"/>
  <c r="H135" i="1"/>
  <c r="H134" i="1"/>
  <c r="H129" i="1"/>
  <c r="H128" i="1" s="1"/>
  <c r="H111" i="1"/>
  <c r="H110" i="1"/>
  <c r="K99" i="1"/>
  <c r="J99" i="1"/>
  <c r="H99" i="1"/>
  <c r="H98" i="1"/>
  <c r="H91" i="1"/>
  <c r="H80" i="1"/>
  <c r="K71" i="1"/>
  <c r="H71" i="1"/>
  <c r="H70" i="1"/>
  <c r="F84" i="1" l="1"/>
  <c r="H133" i="1"/>
  <c r="H109" i="1"/>
  <c r="H90" i="1"/>
  <c r="H97" i="1"/>
  <c r="H69" i="1"/>
  <c r="K55" i="1"/>
  <c r="J55" i="1"/>
  <c r="H55" i="1"/>
  <c r="H54" i="1"/>
  <c r="K51" i="1"/>
  <c r="J51" i="1"/>
  <c r="H51" i="1"/>
  <c r="H50" i="1"/>
  <c r="K47" i="1"/>
  <c r="J47" i="1"/>
  <c r="H47" i="1"/>
  <c r="H46" i="1"/>
  <c r="F188" i="1" l="1"/>
  <c r="K361" i="1"/>
  <c r="J361" i="1"/>
  <c r="H361" i="1"/>
  <c r="H360" i="1"/>
  <c r="H357" i="1"/>
  <c r="H356" i="1"/>
  <c r="K349" i="1"/>
  <c r="H349" i="1"/>
  <c r="H348" i="1"/>
  <c r="K338" i="1"/>
  <c r="J338" i="1"/>
  <c r="H338" i="1"/>
  <c r="H337" i="1"/>
  <c r="K330" i="1"/>
  <c r="J330" i="1"/>
  <c r="H330" i="1"/>
  <c r="H329" i="1"/>
  <c r="K326" i="1"/>
  <c r="J326" i="1"/>
  <c r="H326" i="1"/>
  <c r="H325" i="1"/>
  <c r="K321" i="1"/>
  <c r="J321" i="1"/>
  <c r="H321" i="1"/>
  <c r="H320" i="1"/>
  <c r="K317" i="1"/>
  <c r="H317" i="1"/>
  <c r="H316" i="1"/>
  <c r="K313" i="1"/>
  <c r="J313" i="1"/>
  <c r="H313" i="1"/>
  <c r="H312" i="1"/>
  <c r="H309" i="1"/>
  <c r="H308" i="1"/>
  <c r="H341" i="1" s="1"/>
  <c r="K263" i="1"/>
  <c r="J263" i="1"/>
  <c r="H263" i="1"/>
  <c r="F299" i="1" s="1"/>
  <c r="H262" i="1"/>
  <c r="F298" i="1" s="1"/>
  <c r="K235" i="1"/>
  <c r="J235" i="1"/>
  <c r="H235" i="1"/>
  <c r="H234" i="1"/>
  <c r="K227" i="1"/>
  <c r="H226" i="1"/>
  <c r="K204" i="1"/>
  <c r="J204" i="1"/>
  <c r="H204" i="1"/>
  <c r="H203" i="1"/>
  <c r="K200" i="1"/>
  <c r="J200" i="1"/>
  <c r="H200" i="1"/>
  <c r="H199" i="1"/>
  <c r="K143" i="1"/>
  <c r="J143" i="1"/>
  <c r="H143" i="1"/>
  <c r="F174" i="1" s="1"/>
  <c r="H142" i="1"/>
  <c r="F173" i="1" s="1"/>
  <c r="K126" i="1"/>
  <c r="J126" i="1"/>
  <c r="H126" i="1"/>
  <c r="H125" i="1"/>
  <c r="H122" i="1"/>
  <c r="K88" i="1"/>
  <c r="J88" i="1"/>
  <c r="H88" i="1"/>
  <c r="H87" i="1"/>
  <c r="F117" i="1" s="1"/>
  <c r="H39" i="1"/>
  <c r="K39" i="1"/>
  <c r="J39" i="1"/>
  <c r="H38" i="1"/>
  <c r="H35" i="1"/>
  <c r="K34" i="1"/>
  <c r="J34" i="1"/>
  <c r="J35" i="1" s="1"/>
  <c r="H34" i="1"/>
  <c r="H31" i="1"/>
  <c r="J31" i="1"/>
  <c r="H30" i="1"/>
  <c r="K23" i="1"/>
  <c r="H23" i="1"/>
  <c r="H22" i="1"/>
  <c r="K18" i="1"/>
  <c r="J18" i="1"/>
  <c r="K17" i="1"/>
  <c r="J17" i="1"/>
  <c r="H15" i="1"/>
  <c r="H14" i="1"/>
  <c r="H218" i="1" l="1"/>
  <c r="H221" i="1" s="1"/>
  <c r="H193" i="1"/>
  <c r="H219" i="1"/>
  <c r="H222" i="1" s="1"/>
  <c r="H342" i="1"/>
  <c r="H345" i="1" s="1"/>
  <c r="F118" i="1"/>
  <c r="F116" i="1" s="1"/>
  <c r="H344" i="1"/>
  <c r="H365" i="1"/>
  <c r="H368" i="1" s="1"/>
  <c r="H364" i="1"/>
  <c r="H367" i="1" s="1"/>
  <c r="H301" i="1"/>
  <c r="H304" i="1" s="1"/>
  <c r="F259" i="1"/>
  <c r="H302" i="1"/>
  <c r="H305" i="1" s="1"/>
  <c r="F258" i="1"/>
  <c r="F138" i="1"/>
  <c r="F139" i="1"/>
  <c r="F297" i="1"/>
  <c r="H18" i="1"/>
  <c r="H62" i="1" s="1"/>
  <c r="F172" i="1"/>
  <c r="K31" i="1"/>
  <c r="K32" i="1"/>
  <c r="K35" i="1"/>
  <c r="K36" i="1"/>
  <c r="H86" i="1"/>
  <c r="H324" i="1"/>
  <c r="H261" i="1"/>
  <c r="H359" i="1"/>
  <c r="H336" i="1"/>
  <c r="H311" i="1"/>
  <c r="H202" i="1"/>
  <c r="J19" i="1"/>
  <c r="H315" i="1"/>
  <c r="H141" i="1"/>
  <c r="H198" i="1"/>
  <c r="H225" i="1"/>
  <c r="H319" i="1"/>
  <c r="H355" i="1"/>
  <c r="K19" i="1"/>
  <c r="H19" i="1"/>
  <c r="H63" i="1" s="1"/>
  <c r="H21" i="1"/>
  <c r="H124" i="1"/>
  <c r="H328" i="1"/>
  <c r="H307" i="1"/>
  <c r="H120" i="1"/>
  <c r="H233" i="1"/>
  <c r="H347" i="1"/>
  <c r="H196" i="1" l="1"/>
  <c r="F257" i="1"/>
  <c r="F137" i="1"/>
  <c r="H65" i="1"/>
  <c r="H66" i="1"/>
  <c r="H363" i="1"/>
  <c r="H366" i="1" s="1"/>
  <c r="H340" i="1"/>
  <c r="H343" i="1" s="1"/>
  <c r="H217" i="1"/>
  <c r="H220" i="1" s="1"/>
  <c r="H300" i="1"/>
  <c r="H303" i="1" s="1"/>
  <c r="H61" i="1" l="1"/>
  <c r="H64" i="1" s="1"/>
  <c r="H372" i="1"/>
  <c r="H78" i="1"/>
  <c r="H192" i="1" s="1"/>
  <c r="F83" i="1" l="1"/>
  <c r="F82" i="1" s="1"/>
  <c r="H371" i="1"/>
  <c r="H370" i="1" s="1"/>
  <c r="H375" i="1"/>
  <c r="H77" i="1"/>
  <c r="H374" i="1" l="1"/>
  <c r="H195" i="1"/>
  <c r="H191" i="1"/>
  <c r="H194" i="1" s="1"/>
  <c r="H373" i="1" l="1"/>
</calcChain>
</file>

<file path=xl/sharedStrings.xml><?xml version="1.0" encoding="utf-8"?>
<sst xmlns="http://schemas.openxmlformats.org/spreadsheetml/2006/main" count="886" uniqueCount="389">
  <si>
    <t>Додаток</t>
  </si>
  <si>
    <t>Перелік завдань і заходів</t>
  </si>
  <si>
    <t>комплексної міської цільової програми "Освіта Києва. 2024 - 2025 роки"</t>
  </si>
  <si>
    <r>
      <t>Оперативна ціль</t>
    </r>
    <r>
      <rPr>
        <sz val="10"/>
        <color rgb="FF000000"/>
        <rFont val="Times New Roman"/>
        <family val="1"/>
        <charset val="204"/>
      </rPr>
      <t xml:space="preserve"> Стратегії розвитку міста Києва до 2025 року</t>
    </r>
  </si>
  <si>
    <t>Строки виконання заходу</t>
  </si>
  <si>
    <t>Виконавці заходу</t>
  </si>
  <si>
    <t>Джерела фінансування</t>
  </si>
  <si>
    <t>Обсяги фінансування, (тис. грн)</t>
  </si>
  <si>
    <t>Очікуваний результат</t>
  </si>
  <si>
    <t>Назва показника</t>
  </si>
  <si>
    <t>2024 рік</t>
  </si>
  <si>
    <t>2025 рік</t>
  </si>
  <si>
    <t>Підвищення рівня забезпеченості освітньою інфраструктурою та її оновлення у відповідності до вимог часу</t>
  </si>
  <si>
    <t xml:space="preserve">1.1.Забезпечення закладів освіти захисними спорудами цивільного захисту відповідно до чинних стандартів, правил, норм </t>
  </si>
  <si>
    <t>2024-2025</t>
  </si>
  <si>
    <t>Всього:</t>
  </si>
  <si>
    <r>
      <rPr>
        <b/>
        <sz val="10"/>
        <rFont val="Times New Roman"/>
        <family val="1"/>
        <charset val="204"/>
      </rPr>
      <t>витрат:</t>
    </r>
    <r>
      <rPr>
        <sz val="10"/>
        <rFont val="Times New Roman"/>
        <family val="1"/>
        <charset val="204"/>
      </rPr>
      <t xml:space="preserve">                              обсяг видатків, тис.грн</t>
    </r>
  </si>
  <si>
    <t>2024 рік:</t>
  </si>
  <si>
    <r>
      <rPr>
        <b/>
        <sz val="10"/>
        <rFont val="Times New Roman"/>
        <family val="1"/>
        <charset val="204"/>
      </rPr>
      <t>продукту:</t>
    </r>
    <r>
      <rPr>
        <sz val="10"/>
        <rFont val="Times New Roman"/>
        <family val="1"/>
        <charset val="204"/>
      </rPr>
      <t xml:space="preserve">                                     кількість об'єктів, од.</t>
    </r>
  </si>
  <si>
    <t>2025 рік:</t>
  </si>
  <si>
    <r>
      <rPr>
        <b/>
        <sz val="10"/>
        <rFont val="Times New Roman"/>
        <family val="1"/>
        <charset val="204"/>
      </rPr>
      <t>ефективності:</t>
    </r>
    <r>
      <rPr>
        <sz val="10"/>
        <rFont val="Times New Roman"/>
        <family val="1"/>
        <charset val="204"/>
      </rPr>
      <t xml:space="preserve">                                                    середні витрати на один об'єкт, тис.грн</t>
    </r>
  </si>
  <si>
    <t>1.2.Забезпечення закладів освіти автоматичною пожежною сигналізацією</t>
  </si>
  <si>
    <t>1.3. Забезпечення безбар’єрного доступу до будівель та споруд закладів освіти для осіб з обмеженими фізичними можливостями</t>
  </si>
  <si>
    <t>1.4. Створення умов  територіальної доступності до закладів освіти (розвиток мережі закладів освіти)</t>
  </si>
  <si>
    <t>Дошкільна освіта</t>
  </si>
  <si>
    <t>2.2.  Оновлення матеріально-технічної  та навчально-методичної бази закладів освіти з розширенням освітньої інфраструктури</t>
  </si>
  <si>
    <r>
      <t xml:space="preserve">витрат:                      </t>
    </r>
    <r>
      <rPr>
        <sz val="10"/>
        <rFont val="Times New Roman"/>
        <family val="1"/>
        <charset val="204"/>
      </rPr>
      <t>обсяг видатків, тис.грн</t>
    </r>
  </si>
  <si>
    <r>
      <rPr>
        <b/>
        <sz val="10"/>
        <rFont val="Times New Roman"/>
        <family val="1"/>
        <charset val="204"/>
      </rPr>
      <t>продукту:</t>
    </r>
    <r>
      <rPr>
        <sz val="10"/>
        <rFont val="Times New Roman"/>
        <family val="1"/>
        <charset val="204"/>
      </rPr>
      <t xml:space="preserve"> кількість ЗДО у яких облаштовано  приміщення найпростіших укриттів, од.</t>
    </r>
  </si>
  <si>
    <t>Повна загальна середня освіта</t>
  </si>
  <si>
    <r>
      <t xml:space="preserve">витрат:                         </t>
    </r>
    <r>
      <rPr>
        <sz val="10"/>
        <rFont val="Times New Roman"/>
        <family val="1"/>
        <charset val="204"/>
      </rPr>
      <t>обсяг видатків, тис.грн</t>
    </r>
  </si>
  <si>
    <r>
      <rPr>
        <b/>
        <sz val="10"/>
        <rFont val="Times New Roman"/>
        <family val="1"/>
        <charset val="204"/>
      </rPr>
      <t>ефективності:</t>
    </r>
    <r>
      <rPr>
        <sz val="10"/>
        <rFont val="Times New Roman"/>
        <family val="1"/>
        <charset val="204"/>
      </rPr>
      <t xml:space="preserve">                                       середні витрати на заклад, тис.грн</t>
    </r>
  </si>
  <si>
    <t>Інклюзивна та спеціальна освіта</t>
  </si>
  <si>
    <r>
      <rPr>
        <b/>
        <sz val="10"/>
        <rFont val="Times New Roman"/>
        <family val="1"/>
        <charset val="204"/>
      </rPr>
      <t>продукту:</t>
    </r>
    <r>
      <rPr>
        <sz val="10"/>
        <rFont val="Times New Roman"/>
        <family val="1"/>
        <charset val="204"/>
      </rPr>
      <t xml:space="preserve">                         кількість реформованих санаторних  шкіл-інтернатів, од.</t>
    </r>
  </si>
  <si>
    <r>
      <rPr>
        <b/>
        <sz val="10"/>
        <rFont val="Times New Roman"/>
        <family val="1"/>
        <charset val="204"/>
      </rPr>
      <t xml:space="preserve">ефективності: </t>
    </r>
    <r>
      <rPr>
        <sz val="10"/>
        <rFont val="Times New Roman"/>
        <family val="1"/>
        <charset val="204"/>
      </rPr>
      <t xml:space="preserve">середні витрати на реформування однієї  санаторної школи-інтернату, тис.грн         </t>
    </r>
  </si>
  <si>
    <r>
      <rPr>
        <b/>
        <sz val="10"/>
        <color theme="1"/>
        <rFont val="Times New Roman"/>
        <family val="1"/>
        <charset val="204"/>
      </rPr>
      <t>ефективності:</t>
    </r>
    <r>
      <rPr>
        <sz val="10"/>
        <color theme="1"/>
        <rFont val="Times New Roman"/>
        <family val="1"/>
        <charset val="204"/>
      </rPr>
      <t xml:space="preserve"> середні витрати на створення в ЗЗСО інклюзивних та спеціальних класів, тис.грн</t>
    </r>
  </si>
  <si>
    <r>
      <rPr>
        <b/>
        <sz val="10"/>
        <rFont val="Times New Roman"/>
        <family val="1"/>
        <charset val="204"/>
      </rPr>
      <t xml:space="preserve">продукту:  </t>
    </r>
    <r>
      <rPr>
        <sz val="10"/>
        <rFont val="Times New Roman"/>
        <family val="1"/>
        <charset val="204"/>
      </rPr>
      <t xml:space="preserve">          кількість створених філій інклюзивно-ресурсних центрів, од.</t>
    </r>
  </si>
  <si>
    <r>
      <rPr>
        <b/>
        <sz val="10"/>
        <rFont val="Times New Roman"/>
        <family val="1"/>
        <charset val="204"/>
      </rPr>
      <t xml:space="preserve">ефективності:   </t>
    </r>
    <r>
      <rPr>
        <sz val="10"/>
        <rFont val="Times New Roman"/>
        <family val="1"/>
        <charset val="204"/>
      </rPr>
      <t xml:space="preserve">                          середні витрати на створення філії, тис.грн</t>
    </r>
  </si>
  <si>
    <t>Позашкільна освіта</t>
  </si>
  <si>
    <r>
      <t xml:space="preserve">витрат:                         </t>
    </r>
    <r>
      <rPr>
        <sz val="10"/>
        <color theme="1"/>
        <rFont val="Times New Roman"/>
        <family val="1"/>
        <charset val="204"/>
      </rPr>
      <t>обсяг видатків, тис.грн</t>
    </r>
  </si>
  <si>
    <r>
      <t xml:space="preserve">продукту:                   </t>
    </r>
    <r>
      <rPr>
        <sz val="10"/>
        <color theme="1"/>
        <rFont val="Times New Roman"/>
        <family val="1"/>
        <charset val="204"/>
      </rPr>
      <t>кількість закладів позашкільної освіти, для яких придбано обладнання, од.</t>
    </r>
  </si>
  <si>
    <r>
      <t xml:space="preserve">ефективності:                              </t>
    </r>
    <r>
      <rPr>
        <sz val="10"/>
        <color theme="1"/>
        <rFont val="Times New Roman"/>
        <family val="1"/>
        <charset val="204"/>
      </rPr>
      <t xml:space="preserve"> середні витрати на придбання обладнання для одного закладу позашкільної освіти, тис. грн</t>
    </r>
  </si>
  <si>
    <r>
      <rPr>
        <b/>
        <sz val="10"/>
        <color theme="1"/>
        <rFont val="Times New Roman"/>
        <family val="1"/>
        <charset val="204"/>
      </rPr>
      <t xml:space="preserve">якості:     </t>
    </r>
    <r>
      <rPr>
        <sz val="10"/>
        <color theme="1"/>
        <rFont val="Times New Roman"/>
        <family val="1"/>
        <charset val="204"/>
      </rPr>
      <t xml:space="preserve">           рівень виконання заходу, %</t>
    </r>
  </si>
  <si>
    <r>
      <t xml:space="preserve">витрат:                         </t>
    </r>
    <r>
      <rPr>
        <sz val="10"/>
        <color theme="1"/>
        <rFont val="Times New Roman"/>
        <family val="1"/>
        <charset val="204"/>
      </rPr>
      <t>обсяг видатків, тис. грн</t>
    </r>
  </si>
  <si>
    <r>
      <t xml:space="preserve">продукту:       </t>
    </r>
    <r>
      <rPr>
        <sz val="10"/>
        <color theme="1"/>
        <rFont val="Times New Roman"/>
        <family val="1"/>
        <charset val="204"/>
      </rPr>
      <t>кількість мистецьких шкіл, од.</t>
    </r>
  </si>
  <si>
    <r>
      <t xml:space="preserve">ефективності:                     </t>
    </r>
    <r>
      <rPr>
        <sz val="10"/>
        <color theme="1"/>
        <rFont val="Times New Roman"/>
        <family val="1"/>
        <charset val="204"/>
      </rPr>
      <t>середня вартість будівництва (реконструкції) однієї мистецької школи, тис. грн</t>
    </r>
  </si>
  <si>
    <r>
      <t xml:space="preserve">продукту:       </t>
    </r>
    <r>
      <rPr>
        <sz val="10"/>
        <color theme="1"/>
        <rFont val="Times New Roman"/>
        <family val="1"/>
        <charset val="204"/>
      </rPr>
      <t xml:space="preserve"> кількість відремонтованих мистецьких шкіл, од.</t>
    </r>
  </si>
  <si>
    <r>
      <t xml:space="preserve">ефективності:      </t>
    </r>
    <r>
      <rPr>
        <sz val="10"/>
        <color theme="1"/>
        <rFont val="Times New Roman"/>
        <family val="1"/>
        <charset val="204"/>
      </rPr>
      <t>середні витрати на ремонт мистецької школи, тис. грн</t>
    </r>
  </si>
  <si>
    <r>
      <rPr>
        <b/>
        <sz val="10"/>
        <color rgb="FF000000"/>
        <rFont val="Times New Roman"/>
        <family val="1"/>
        <charset val="204"/>
      </rPr>
      <t>витрат:</t>
    </r>
    <r>
      <rPr>
        <sz val="10"/>
        <color rgb="FF000000"/>
        <rFont val="Times New Roman"/>
        <family val="1"/>
        <charset val="204"/>
      </rPr>
      <t xml:space="preserve">                              обсяг видатків, тис.грн</t>
    </r>
  </si>
  <si>
    <r>
      <rPr>
        <b/>
        <sz val="10"/>
        <color rgb="FF000000"/>
        <rFont val="Times New Roman"/>
        <family val="1"/>
        <charset val="204"/>
      </rPr>
      <t>продукту:</t>
    </r>
    <r>
      <rPr>
        <sz val="10"/>
        <color rgb="FF000000"/>
        <rFont val="Times New Roman"/>
        <family val="1"/>
        <charset val="204"/>
      </rPr>
      <t xml:space="preserve">                                     кількість об'єктів, од.</t>
    </r>
  </si>
  <si>
    <r>
      <rPr>
        <b/>
        <sz val="10"/>
        <color rgb="FF000000"/>
        <rFont val="Times New Roman"/>
        <family val="1"/>
        <charset val="204"/>
      </rPr>
      <t>ефективності:</t>
    </r>
    <r>
      <rPr>
        <sz val="10"/>
        <color rgb="FF000000"/>
        <rFont val="Times New Roman"/>
        <family val="1"/>
        <charset val="204"/>
      </rPr>
      <t xml:space="preserve">                                                    середні витрати на один об'єкт, тис.грн</t>
    </r>
  </si>
  <si>
    <r>
      <t xml:space="preserve">ефективності:            </t>
    </r>
    <r>
      <rPr>
        <sz val="10"/>
        <color theme="1"/>
        <rFont val="Times New Roman"/>
        <family val="1"/>
        <charset val="204"/>
      </rPr>
      <t xml:space="preserve">середня вартість придбання для  однієї мистецької школи, тис. грн </t>
    </r>
  </si>
  <si>
    <r>
      <t xml:space="preserve">ефективності:     </t>
    </r>
    <r>
      <rPr>
        <sz val="10"/>
        <color theme="1"/>
        <rFont val="Times New Roman"/>
        <family val="1"/>
        <charset val="204"/>
      </rPr>
      <t xml:space="preserve"> середня вартість оновлення бібліотечного фонду однієї мистецької школи, тис. грн</t>
    </r>
  </si>
  <si>
    <t>Бюджет міста Києва</t>
  </si>
  <si>
    <r>
      <t xml:space="preserve">витрат:                          </t>
    </r>
    <r>
      <rPr>
        <sz val="10"/>
        <color theme="1"/>
        <rFont val="Times New Roman"/>
        <family val="1"/>
      </rPr>
      <t xml:space="preserve"> обсяг видатків, тис. грн</t>
    </r>
  </si>
  <si>
    <r>
      <t xml:space="preserve">ефективності:          </t>
    </r>
    <r>
      <rPr>
        <sz val="10"/>
        <color theme="1"/>
        <rFont val="Times New Roman"/>
        <family val="1"/>
        <charset val="204"/>
      </rPr>
      <t>середні витрати на придбання для одного закладу вищої мистецької освіти, тис. грн</t>
    </r>
  </si>
  <si>
    <t>Професійна (професійно-технічна) освіта"</t>
  </si>
  <si>
    <t>4.1.Підвищення ефективності управління закладами професійної (професійно-технічної) освіти</t>
  </si>
  <si>
    <r>
      <t xml:space="preserve"> 4.2.Оновлення матеріально-технічного забезпечення освітнього процесу відповідно до сучасних вимог освітніх, виробничих та</t>
    </r>
    <r>
      <rPr>
        <b/>
        <sz val="10"/>
        <color rgb="FF000000"/>
        <rFont val="Times New Roman"/>
        <family val="1"/>
        <charset val="204"/>
      </rPr>
      <t xml:space="preserve"> </t>
    </r>
    <r>
      <rPr>
        <sz val="10"/>
        <color rgb="FF000000"/>
        <rFont val="Times New Roman"/>
        <family val="1"/>
        <charset val="204"/>
      </rPr>
      <t>інформаційно-комунікативних технологій</t>
    </r>
  </si>
  <si>
    <r>
      <t xml:space="preserve">продукту:                    </t>
    </r>
    <r>
      <rPr>
        <sz val="10"/>
        <color theme="1"/>
        <rFont val="Times New Roman"/>
        <family val="1"/>
      </rPr>
      <t>кількість закладів, в яких створено безпечний освітній простір, од.</t>
    </r>
  </si>
  <si>
    <r>
      <rPr>
        <b/>
        <sz val="10"/>
        <color theme="1"/>
        <rFont val="Times New Roman"/>
        <family val="1"/>
      </rPr>
      <t>ефективності:</t>
    </r>
    <r>
      <rPr>
        <sz val="10"/>
        <color theme="1"/>
        <rFont val="Times New Roman"/>
        <family val="1"/>
        <charset val="204"/>
      </rPr>
      <t xml:space="preserve">               середні витрати на один заклад, тис.  грн</t>
    </r>
  </si>
  <si>
    <t>Фахова передвища, вища освіта і наука та підвищення кваліфікації</t>
  </si>
  <si>
    <t>Підвищення актуальності та якості освіти</t>
  </si>
  <si>
    <t>2024 - 2025</t>
  </si>
  <si>
    <r>
      <t xml:space="preserve">продукту: </t>
    </r>
    <r>
      <rPr>
        <sz val="10"/>
        <color theme="1"/>
        <rFont val="Times New Roman"/>
        <family val="1"/>
        <charset val="204"/>
      </rPr>
      <t>кількість проведених заходів, од.</t>
    </r>
  </si>
  <si>
    <r>
      <t xml:space="preserve">продукту:  </t>
    </r>
    <r>
      <rPr>
        <sz val="10"/>
        <color theme="1"/>
        <rFont val="Times New Roman"/>
        <family val="1"/>
        <charset val="204"/>
      </rPr>
      <t>кількість  проведених олімпіад і конкурсів, од.</t>
    </r>
  </si>
  <si>
    <r>
      <t xml:space="preserve">ефективності:             </t>
    </r>
    <r>
      <rPr>
        <sz val="10"/>
        <color theme="1"/>
        <rFont val="Times New Roman"/>
        <family val="1"/>
        <charset val="204"/>
      </rPr>
      <t>середні витрати на проведення одного заходу, тис.грн</t>
    </r>
  </si>
  <si>
    <r>
      <t xml:space="preserve">продукту:  </t>
    </r>
    <r>
      <rPr>
        <sz val="10"/>
        <color theme="1"/>
        <rFont val="Times New Roman"/>
        <family val="1"/>
        <charset val="204"/>
      </rPr>
      <t>кількість вчителів/учительок забезпечених засобами навчання, осіб</t>
    </r>
  </si>
  <si>
    <r>
      <t xml:space="preserve">ефективності:                     </t>
    </r>
    <r>
      <rPr>
        <sz val="10"/>
        <color theme="1"/>
        <rFont val="Times New Roman"/>
        <family val="1"/>
        <charset val="204"/>
      </rPr>
      <t>середні витрати на закупівлю одиниці обладнання, тис.грн</t>
    </r>
  </si>
  <si>
    <r>
      <t xml:space="preserve">ефективності: </t>
    </r>
    <r>
      <rPr>
        <sz val="10"/>
        <color theme="1"/>
        <rFont val="Times New Roman"/>
        <family val="1"/>
        <charset val="204"/>
      </rPr>
      <t xml:space="preserve">                  середні витрати на проведення одного заходу, тис. грн</t>
    </r>
  </si>
  <si>
    <r>
      <t>ефективності:</t>
    </r>
    <r>
      <rPr>
        <sz val="10"/>
        <color theme="1"/>
        <rFont val="Times New Roman"/>
        <family val="1"/>
        <charset val="204"/>
      </rPr>
      <t xml:space="preserve"> середні витрати на організацію та проведення одного заходу, тис. грн</t>
    </r>
  </si>
  <si>
    <r>
      <t xml:space="preserve">ефективності:          </t>
    </r>
    <r>
      <rPr>
        <sz val="10"/>
        <color theme="1"/>
        <rFont val="Times New Roman"/>
        <family val="1"/>
        <charset val="204"/>
      </rPr>
      <t>середня вартість проведення одного заходу, тис. грн</t>
    </r>
  </si>
  <si>
    <t>чоловіків</t>
  </si>
  <si>
    <t>жінок</t>
  </si>
  <si>
    <r>
      <rPr>
        <b/>
        <sz val="10"/>
        <rFont val="Times New Roman"/>
        <family val="1"/>
      </rPr>
      <t xml:space="preserve">продукту:    </t>
    </r>
    <r>
      <rPr>
        <sz val="10"/>
        <rFont val="Times New Roman"/>
        <family val="1"/>
        <charset val="204"/>
      </rPr>
      <t xml:space="preserve">             кількість заходів, од.</t>
    </r>
  </si>
  <si>
    <r>
      <rPr>
        <b/>
        <sz val="10"/>
        <color theme="1"/>
        <rFont val="Times New Roman"/>
        <family val="1"/>
      </rPr>
      <t>ефективності:</t>
    </r>
    <r>
      <rPr>
        <sz val="10"/>
        <color theme="1"/>
        <rFont val="Times New Roman"/>
        <family val="1"/>
        <charset val="204"/>
      </rPr>
      <t xml:space="preserve">               середні витрати  на проведення заходу</t>
    </r>
    <r>
      <rPr>
        <sz val="10"/>
        <color theme="1"/>
        <rFont val="Times New Roman"/>
        <family val="1"/>
      </rPr>
      <t>, тис.грн</t>
    </r>
  </si>
  <si>
    <r>
      <rPr>
        <b/>
        <sz val="10"/>
        <color theme="1"/>
        <rFont val="Times New Roman"/>
        <family val="1"/>
      </rPr>
      <t xml:space="preserve">продукту:  </t>
    </r>
    <r>
      <rPr>
        <sz val="10"/>
        <color theme="1"/>
        <rFont val="Times New Roman"/>
        <family val="1"/>
        <charset val="204"/>
      </rPr>
      <t xml:space="preserve">                 кількість придбаного цифрового обладнання, од.</t>
    </r>
  </si>
  <si>
    <r>
      <rPr>
        <b/>
        <sz val="10"/>
        <color theme="1"/>
        <rFont val="Times New Roman"/>
        <family val="1"/>
      </rPr>
      <t xml:space="preserve">ефективності:    </t>
    </r>
    <r>
      <rPr>
        <sz val="10"/>
        <color theme="1"/>
        <rFont val="Times New Roman"/>
        <family val="1"/>
        <charset val="204"/>
      </rPr>
      <t xml:space="preserve">           середні витрати на придбання одиниці цифрового обладнання, тис.  грн</t>
    </r>
  </si>
  <si>
    <t>5.1.2. Упровадження елементів е-навчання для учнів/учениць закладів загальної середньої освіти</t>
  </si>
  <si>
    <r>
      <t xml:space="preserve">витрат:                   </t>
    </r>
    <r>
      <rPr>
        <sz val="10"/>
        <color rgb="FF000000"/>
        <rFont val="Times New Roman"/>
        <family val="1"/>
        <charset val="204"/>
      </rPr>
      <t>обсяг видатків, тис. грн.</t>
    </r>
  </si>
  <si>
    <r>
      <t xml:space="preserve">продукту: </t>
    </r>
    <r>
      <rPr>
        <sz val="10"/>
        <color rgb="FF000000"/>
        <rFont val="Times New Roman"/>
        <family val="1"/>
        <charset val="204"/>
      </rPr>
      <t xml:space="preserve">кількість учнів/учениць, охоплених засобами е-навчання, осіб </t>
    </r>
  </si>
  <si>
    <r>
      <t xml:space="preserve">продукту:      </t>
    </r>
    <r>
      <rPr>
        <sz val="10"/>
        <color rgb="FF000000"/>
        <rFont val="Times New Roman"/>
        <family val="1"/>
        <charset val="204"/>
      </rPr>
      <t>кількість розроблених віртуальних методичок, од.</t>
    </r>
  </si>
  <si>
    <r>
      <t xml:space="preserve">продукту:      </t>
    </r>
    <r>
      <rPr>
        <sz val="10"/>
        <color rgb="FF000000"/>
        <rFont val="Times New Roman"/>
        <family val="1"/>
        <charset val="204"/>
      </rPr>
      <t>кількість створених платформ, од.</t>
    </r>
  </si>
  <si>
    <t>6. Підпрограма "Фахова майстерність та стимулювання керівних і педагогічних кадрів"</t>
  </si>
  <si>
    <t>6.1.1.Організація та проведення І туру всеукраїнського конкурсу «Учитель року»</t>
  </si>
  <si>
    <r>
      <t xml:space="preserve">продукту:       </t>
    </r>
    <r>
      <rPr>
        <sz val="10"/>
        <color theme="1"/>
        <rFont val="Times New Roman"/>
        <family val="1"/>
        <charset val="204"/>
      </rPr>
      <t>кількість переможців/переможниць, осіб</t>
    </r>
  </si>
  <si>
    <r>
      <t xml:space="preserve">продукту:            </t>
    </r>
    <r>
      <rPr>
        <sz val="10"/>
        <color theme="1"/>
        <rFont val="Times New Roman"/>
        <family val="1"/>
        <charset val="204"/>
      </rPr>
      <t>кількість номінацій, од.</t>
    </r>
  </si>
  <si>
    <t>РАЗОМ по Комплексній міській цільовій програмі  "Освіта Києва. 2024 - 2025"</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</si>
  <si>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t>
  </si>
  <si>
    <t>Всього: за Програмою 1 "Безпечне освітнє середовище"</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</si>
  <si>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t>
  </si>
  <si>
    <t xml:space="preserve"> Департамент освіти і науки виконавчого органу Київської міської ради (Київської міської державної  адміністрації),  заклади професійної  (професійно-технічної )освіти</t>
  </si>
  <si>
    <t xml:space="preserve"> Департамент освіти і науки виконавчого органу Київської міської ради (Київської міської державної  адміністрації), заклади фахової передвищої освіти </t>
  </si>
  <si>
    <t>Департамент освіти і науки виконавчого органу Київської міської ради (Київської міської державної  адміністрації), заклади професійної (професійно-технічної) освіти</t>
  </si>
  <si>
    <t>Районні в місті Києві державні адміністрації, Департамент культури виконавчого органу Київської міської ради (Київської міської державної  адміністрації)</t>
  </si>
  <si>
    <t>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t>
  </si>
  <si>
    <t>Всього: за Програмою 2 "Дошкільна, повна загальна середня, позашкільна, інклюзивна освіта як складники освіти міста Києва"</t>
  </si>
  <si>
    <t>Всього: за Програмою 6  "Фахова майстерність та стимулювання керівних і педагогічних кадрів"</t>
  </si>
  <si>
    <t>Вього:  за  Програмою 5 "Цифровий освітній простір міста Києва"</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</si>
  <si>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КНП «ОСВІТНЯ АГЕНЦІЯ МІСТА КИЄВА»</t>
  </si>
  <si>
    <r>
      <t xml:space="preserve">ефективності: </t>
    </r>
    <r>
      <rPr>
        <sz val="10"/>
        <color rgb="FF000000"/>
        <rFont val="Times New Roman"/>
        <family val="1"/>
        <charset val="204"/>
      </rPr>
      <t>середні витрати на одного учня/ ученицю, тис. грн</t>
    </r>
  </si>
  <si>
    <t>Департамент освіти і науки виконавчого органу Київської міської ради (Київської міської державної  адміністрації), КНП «ОСВІТНЯ АГЕНЦІЯ МІСТА КИЄВА»</t>
  </si>
  <si>
    <r>
      <t xml:space="preserve">продукту:      </t>
    </r>
    <r>
      <rPr>
        <sz val="10"/>
        <color theme="1"/>
        <rFont val="Times New Roman"/>
        <family val="1"/>
        <charset val="204"/>
      </rPr>
      <t>кількість підготовлених операторів/операторок, осіб</t>
    </r>
  </si>
  <si>
    <r>
      <t xml:space="preserve">продукту:       </t>
    </r>
    <r>
      <rPr>
        <sz val="10"/>
        <color theme="1"/>
        <rFont val="Times New Roman"/>
        <family val="1"/>
        <charset val="204"/>
      </rPr>
      <t>кількість проведених заходів, од.</t>
    </r>
  </si>
  <si>
    <t>Департамент освіти і науки виконавчого органу Київської міської ради (Київської міської державної  адміністрації)</t>
  </si>
  <si>
    <r>
      <t>ефективності:</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середні витрати на одного номінанта, тис. грн</t>
    </r>
  </si>
  <si>
    <t>Департамент освіти і науки виконавчого органу Київської міської ради (Київської міської державної  адміністрації), Департамент культури виконавчого органу Київської міської ради (Київської міської державної  адміністрації)</t>
  </si>
  <si>
    <t>юнаків</t>
  </si>
  <si>
    <t>дівчат</t>
  </si>
  <si>
    <r>
      <rPr>
        <b/>
        <sz val="10"/>
        <color theme="1"/>
        <rFont val="Times New Roman"/>
        <family val="1"/>
      </rPr>
      <t>ефективності</t>
    </r>
    <r>
      <rPr>
        <sz val="10"/>
        <color theme="1"/>
        <rFont val="Times New Roman"/>
        <family val="1"/>
        <charset val="204"/>
      </rPr>
      <t>:             середні витрати на забезпечення здобувачів/здобувачок  спецодягом та первинним робочим інструментом, тис. грн</t>
    </r>
  </si>
  <si>
    <r>
      <t xml:space="preserve">продукту:       </t>
    </r>
    <r>
      <rPr>
        <sz val="10"/>
        <color theme="1"/>
        <rFont val="Times New Roman"/>
        <family val="1"/>
        <charset val="204"/>
      </rPr>
      <t>кількість номінантів конкурсів, осіб</t>
    </r>
  </si>
  <si>
    <r>
      <t>ефективності:</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середні витрати на номінацію, тис. грн</t>
    </r>
  </si>
  <si>
    <t>хлопчики</t>
  </si>
  <si>
    <t>дівчата</t>
  </si>
  <si>
    <t>3000</t>
  </si>
  <si>
    <t>1000</t>
  </si>
  <si>
    <t>3750</t>
  </si>
  <si>
    <t>1250</t>
  </si>
  <si>
    <t>Департамент культури виконавчого органу Київської міської ради (Київської міської державної  адміністрації), Київський міський методичний центр закладів культури та навчальних закладів</t>
  </si>
  <si>
    <t>Департамент культури  виконавчого органу Київської міської ради (Київської міської державної  адміністрації), Київський міський методичний центр закладів культури та навчальних закладів</t>
  </si>
  <si>
    <r>
      <t xml:space="preserve">продукту:        </t>
    </r>
    <r>
      <rPr>
        <sz val="10"/>
        <color theme="1"/>
        <rFont val="Times New Roman"/>
        <family val="1"/>
        <charset val="204"/>
      </rPr>
      <t>кількість проведених заходів, од.</t>
    </r>
  </si>
  <si>
    <t>3.1. Оновлення матеріально-технічної  та навчально-методичної бази закладів мистецької освіти</t>
  </si>
  <si>
    <t>Всього: за Програмою 4 "Професійна (професійно-технічна), фахова передвища, вища освіта і наука та підвищення кваліфікації"</t>
  </si>
  <si>
    <r>
      <t xml:space="preserve">продукту:           </t>
    </r>
    <r>
      <rPr>
        <sz val="10"/>
        <color theme="1"/>
        <rFont val="Times New Roman"/>
        <family val="1"/>
        <charset val="204"/>
      </rPr>
      <t>кількість закладів вищої мистецької освіти, забезпечених предметами, матеріалами, обладнанням та інвентарем, од.</t>
    </r>
  </si>
  <si>
    <t>Департамент культури виконавчого органу Київської міської ради (Київської міської державної  адміністрації), заклади вищої  мистецької освіти</t>
  </si>
  <si>
    <r>
      <t xml:space="preserve">ефективності:          </t>
    </r>
    <r>
      <rPr>
        <sz val="10"/>
        <color theme="1"/>
        <rFont val="Times New Roman"/>
        <family val="1"/>
        <charset val="204"/>
      </rPr>
      <t>середні витрати на придбання 1  примірника, тис. грн</t>
    </r>
  </si>
  <si>
    <r>
      <t xml:space="preserve">продукту:           </t>
    </r>
    <r>
      <rPr>
        <sz val="10"/>
        <color theme="1"/>
        <rFont val="Times New Roman"/>
        <family val="1"/>
        <charset val="204"/>
      </rPr>
      <t>кількість придбаних предметів, матеріалів, обладнання, інвентаря, од.</t>
    </r>
  </si>
  <si>
    <r>
      <t xml:space="preserve">ефективності               </t>
    </r>
    <r>
      <rPr>
        <sz val="10"/>
        <rFont val="Times New Roman"/>
        <family val="1"/>
        <charset val="204"/>
      </rPr>
      <t xml:space="preserve"> середні витрати на виготовлення відеоконтенту та створення віар-оболонки віртуальної  музейної зали, тис. грн</t>
    </r>
  </si>
  <si>
    <t>Районні в місті Києві державні адміністрації,  Департамент культури виконавчого органу Київської міської ради (Київської міської державної  адміністрації)</t>
  </si>
  <si>
    <t>Департамент освіти і науки виконавчого органу Київської міської ради (Київської міської державної  адміністрації), районні в місті Києві державні адміністрації</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</si>
  <si>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Київський позашкільний навчальний заклад "Київський центр дитячо-юнацького туризму, краєзнавства та військово-патріотичного виховання"</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</si>
  <si>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комунальний позашкільний навчальний заклад "Київська Мала академія наук учнівської молоді"</t>
  </si>
  <si>
    <t xml:space="preserve">жінок </t>
  </si>
  <si>
    <t>дівчатка</t>
  </si>
  <si>
    <t>4.1.2. Формування та розміщення регіонального замовлення на основі укладених договорів з урахуванням оплати послуги на підготовку робітничих кадрів у  закладах професійної (професійно-технічної ) освіти з урахуванням вартості підготовки  одного фахівця</t>
  </si>
  <si>
    <t>4.2.1 .Придбання обладнання, устаткування та основних засобів навчання закладам професійної (професійно-технічної) освіти</t>
  </si>
  <si>
    <r>
      <rPr>
        <b/>
        <sz val="10"/>
        <rFont val="Times New Roman"/>
        <family val="1"/>
        <charset val="204"/>
      </rPr>
      <t xml:space="preserve">ефективності:       </t>
    </r>
    <r>
      <rPr>
        <sz val="10"/>
        <rFont val="Times New Roman"/>
        <family val="1"/>
        <charset val="204"/>
      </rPr>
      <t xml:space="preserve">                       середні витрати утримання 1 закладу,  тис.грн</t>
    </r>
  </si>
  <si>
    <r>
      <t xml:space="preserve">ефективності:          </t>
    </r>
    <r>
      <rPr>
        <sz val="10"/>
        <color theme="1"/>
        <rFont val="Times New Roman"/>
        <family val="1"/>
        <charset val="204"/>
      </rPr>
      <t>середня вартість 1 бланку єдиного квитка, тис.грн</t>
    </r>
  </si>
  <si>
    <r>
      <rPr>
        <b/>
        <sz val="10"/>
        <color theme="1"/>
        <rFont val="Times New Roman"/>
        <family val="1"/>
        <charset val="204"/>
      </rPr>
      <t xml:space="preserve">якості:     </t>
    </r>
    <r>
      <rPr>
        <sz val="10"/>
        <color theme="1"/>
        <rFont val="Times New Roman"/>
        <family val="1"/>
        <charset val="204"/>
      </rPr>
      <t xml:space="preserve">           рівень забезпечення бланками єдиного квитка, у % до потреби</t>
    </r>
  </si>
  <si>
    <r>
      <t xml:space="preserve">ефективності:                        </t>
    </r>
    <r>
      <rPr>
        <sz val="10"/>
        <color theme="1"/>
        <rFont val="Times New Roman"/>
        <family val="1"/>
        <charset val="204"/>
      </rPr>
      <t>середні витрати на  придбання однієї одиниці предметів, матеріалів, обладнання, інвентаря, тис. грн</t>
    </r>
  </si>
  <si>
    <r>
      <t xml:space="preserve">ефективності:                 </t>
    </r>
    <r>
      <rPr>
        <sz val="10"/>
        <rFont val="Times New Roman"/>
        <family val="1"/>
        <charset val="204"/>
      </rPr>
      <t xml:space="preserve"> середні витрати на перепідготовку та підвищення кваліфікації одного слухача/слухачки, тис. грн</t>
    </r>
  </si>
  <si>
    <r>
      <t xml:space="preserve">продукту:       </t>
    </r>
    <r>
      <rPr>
        <sz val="10"/>
        <color theme="1"/>
        <rFont val="Times New Roman"/>
        <family val="1"/>
        <charset val="204"/>
      </rPr>
      <t>кількість заходів, од.</t>
    </r>
  </si>
  <si>
    <r>
      <t xml:space="preserve">продукту:      </t>
    </r>
    <r>
      <rPr>
        <sz val="10"/>
        <color theme="1"/>
        <rFont val="Times New Roman"/>
        <family val="1"/>
        <charset val="204"/>
      </rPr>
      <t xml:space="preserve"> кількість робітничих кадрів, підготовлених на умовах регіонального замовлення, осіб</t>
    </r>
  </si>
  <si>
    <r>
      <rPr>
        <b/>
        <sz val="10"/>
        <color theme="1"/>
        <rFont val="Times New Roman"/>
        <family val="1"/>
      </rPr>
      <t xml:space="preserve">ефективності </t>
    </r>
    <r>
      <rPr>
        <sz val="10"/>
        <color theme="1"/>
        <rFont val="Times New Roman"/>
        <family val="1"/>
        <charset val="204"/>
      </rPr>
      <t>:  середня вартість підготовки робітничого кадру, тис.грн</t>
    </r>
  </si>
  <si>
    <t xml:space="preserve"> Департамент освіти і науки виконавчого органу Київської міської ради (Київської міської державної  адміністрації), заклади фахової передвищої та вищої освіти </t>
  </si>
  <si>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t>
  </si>
  <si>
    <t xml:space="preserve">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 </t>
  </si>
  <si>
    <t xml:space="preserve"> 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t>
  </si>
  <si>
    <t>від "_______" ____________ 2023 р.</t>
  </si>
  <si>
    <t>Всього : за  напрямом Інклюзивна та спеціальна освіта</t>
  </si>
  <si>
    <t>Психологічна підтримка</t>
  </si>
  <si>
    <t>Всього: за Програмою 3 "Мистецька освіта"</t>
  </si>
  <si>
    <t>Всього : за напрямом  Професійною (професійно-технічною) освітою</t>
  </si>
  <si>
    <t xml:space="preserve">до комплексної міської цільової програми "Освіта Києва. 2024 - 2025 роки" </t>
  </si>
  <si>
    <t>* - базовий рік - 2024 рік</t>
  </si>
  <si>
    <r>
      <t xml:space="preserve">Завдання </t>
    </r>
    <r>
      <rPr>
        <b/>
        <sz val="10"/>
        <color rgb="FF000000"/>
        <rFont val="Times New Roman"/>
        <family val="1"/>
        <charset val="204"/>
      </rPr>
      <t>програми</t>
    </r>
  </si>
  <si>
    <r>
      <t xml:space="preserve">Програма </t>
    </r>
    <r>
      <rPr>
        <b/>
        <sz val="10"/>
        <color theme="1"/>
        <rFont val="Times New Roman"/>
        <family val="1"/>
        <charset val="204"/>
      </rPr>
      <t xml:space="preserve">1 </t>
    </r>
    <r>
      <rPr>
        <b/>
        <sz val="10"/>
        <color rgb="FF000000"/>
        <rFont val="Times New Roman"/>
        <family val="1"/>
        <charset val="204"/>
      </rPr>
      <t>"Безпечне освітнє середовище"</t>
    </r>
  </si>
  <si>
    <r>
      <t xml:space="preserve">Заходи </t>
    </r>
    <r>
      <rPr>
        <b/>
        <sz val="10"/>
        <color rgb="FF000000"/>
        <rFont val="Times New Roman"/>
        <family val="1"/>
        <charset val="204"/>
      </rPr>
      <t>програми</t>
    </r>
  </si>
  <si>
    <r>
      <t>1.2.1. Встановлення у закладах освіти автоматичної пожежної сигналізації</t>
    </r>
    <r>
      <rPr>
        <sz val="10"/>
        <color theme="1"/>
        <rFont val="Times New Roman"/>
        <family val="1"/>
        <charset val="204"/>
      </rPr>
      <t xml:space="preserve"> (АПС)</t>
    </r>
    <r>
      <rPr>
        <sz val="10"/>
        <rFont val="Times New Roman"/>
        <family val="1"/>
        <charset val="204"/>
      </rPr>
      <t xml:space="preserve"> з виведенням на диспетчерський пульт спостереження (перелік об’єктів затверджується щорічно)</t>
    </r>
  </si>
  <si>
    <r>
      <rPr>
        <b/>
        <sz val="10"/>
        <color theme="1"/>
        <rFont val="Times New Roman"/>
        <family val="1"/>
        <charset val="204"/>
      </rPr>
      <t xml:space="preserve">якості:                            </t>
    </r>
    <r>
      <rPr>
        <sz val="10"/>
        <color theme="1"/>
        <rFont val="Times New Roman"/>
        <family val="1"/>
        <charset val="204"/>
      </rPr>
      <t xml:space="preserve">динаміка кількості закладів професійної (професійно-технічної)  освіти, у яких проведено капітальний ремонт, у % до базового* року </t>
    </r>
  </si>
  <si>
    <r>
      <t>Програма</t>
    </r>
    <r>
      <rPr>
        <b/>
        <sz val="10"/>
        <color theme="1"/>
        <rFont val="Times New Roman"/>
        <family val="1"/>
        <charset val="204"/>
      </rPr>
      <t xml:space="preserve"> 2</t>
    </r>
    <r>
      <rPr>
        <b/>
        <sz val="10"/>
        <color rgb="FF000000"/>
        <rFont val="Times New Roman"/>
        <family val="1"/>
        <charset val="204"/>
      </rPr>
      <t xml:space="preserve"> "Дошкільна, повна загальна середня, позашкільна, інклюзивна освіта як складники освіти міста Києва"</t>
    </r>
  </si>
  <si>
    <t>Всього : за  напрямом "Дошкільна освіта"</t>
  </si>
  <si>
    <r>
      <rPr>
        <b/>
        <sz val="10"/>
        <color theme="1"/>
        <rFont val="Times New Roman"/>
        <family val="1"/>
        <charset val="204"/>
      </rPr>
      <t xml:space="preserve">ефективності: </t>
    </r>
    <r>
      <rPr>
        <sz val="10"/>
        <color theme="1"/>
        <rFont val="Times New Roman"/>
        <family val="1"/>
        <charset val="204"/>
      </rPr>
      <t>cередні витрати на організацію та проведення одного заходу, тис.грн</t>
    </r>
  </si>
  <si>
    <r>
      <rPr>
        <b/>
        <sz val="10"/>
        <color theme="1"/>
        <rFont val="Times New Roman"/>
        <family val="1"/>
        <charset val="204"/>
      </rPr>
      <t xml:space="preserve">якості:  </t>
    </r>
    <r>
      <rPr>
        <sz val="10"/>
        <color theme="1"/>
        <rFont val="Times New Roman"/>
        <family val="1"/>
        <charset val="204"/>
      </rPr>
      <t xml:space="preserve">              частка ЗЗСО, в яких створено інклюзивні та спеціальні класи, ресурсні кімнати, у %  до загальної кількості ЗЗСО м.Києва</t>
    </r>
  </si>
  <si>
    <r>
      <rPr>
        <b/>
        <sz val="10"/>
        <color theme="1"/>
        <rFont val="Times New Roman"/>
        <family val="1"/>
        <charset val="204"/>
      </rPr>
      <t xml:space="preserve">якості:     </t>
    </r>
    <r>
      <rPr>
        <sz val="10"/>
        <color theme="1"/>
        <rFont val="Times New Roman"/>
        <family val="1"/>
        <charset val="204"/>
      </rPr>
      <t xml:space="preserve">           динаміка кількості залучених вихованців, у % до базового* року</t>
    </r>
  </si>
  <si>
    <t>Всього : за  напрямом Позашкільна освіта</t>
  </si>
  <si>
    <t>Всього : за  напрямом Психологічна підтримка</t>
  </si>
  <si>
    <t>Програма 3 "Мистецька освіта"</t>
  </si>
  <si>
    <r>
      <rPr>
        <b/>
        <sz val="10"/>
        <color theme="1"/>
        <rFont val="Times New Roman"/>
        <family val="1"/>
        <charset val="204"/>
      </rPr>
      <t xml:space="preserve">якості:     </t>
    </r>
    <r>
      <rPr>
        <sz val="10"/>
        <color theme="1"/>
        <rFont val="Times New Roman"/>
        <family val="1"/>
        <charset val="204"/>
      </rPr>
      <t xml:space="preserve">           динаміка кількості мистецьких шкіл, забезпечених інструментами та обладнанням, у % до базового* року</t>
    </r>
  </si>
  <si>
    <t>Програма 4 "Професійна (професійно-технічна), фахова передвища, вища освіта і наука та підвищення кваліфікації"</t>
  </si>
  <si>
    <t>Всього : за  напрямом Фахова передвища, вища освіта і наука та підвищення кваліфікації</t>
  </si>
  <si>
    <r>
      <rPr>
        <b/>
        <sz val="10"/>
        <color theme="1"/>
        <rFont val="Times New Roman"/>
        <family val="1"/>
        <charset val="204"/>
      </rPr>
      <t xml:space="preserve">якості:     </t>
    </r>
    <r>
      <rPr>
        <sz val="10"/>
        <color theme="1"/>
        <rFont val="Times New Roman"/>
        <family val="1"/>
        <charset val="204"/>
      </rPr>
      <t xml:space="preserve">           динаміка кількості учнів/учениць, які  охоплені засобами е-навчання, у  % до базового* року</t>
    </r>
  </si>
  <si>
    <r>
      <t xml:space="preserve">продукту: </t>
    </r>
    <r>
      <rPr>
        <sz val="10"/>
        <color theme="1"/>
        <rFont val="Times New Roman"/>
        <family val="1"/>
        <charset val="204"/>
      </rPr>
      <t>кількість розроблених та реалізованих проєктів, од.</t>
    </r>
  </si>
  <si>
    <r>
      <t xml:space="preserve">якості:           </t>
    </r>
    <r>
      <rPr>
        <sz val="10"/>
        <color theme="1"/>
        <rFont val="Times New Roman"/>
        <family val="1"/>
        <charset val="204"/>
      </rPr>
      <t>динаміка кількості підготовлених операторів/операторок, у % до базового* року</t>
    </r>
  </si>
  <si>
    <t>5.Програма "Цифровий освітній простір міста Києва"</t>
  </si>
  <si>
    <r>
      <rPr>
        <b/>
        <sz val="10"/>
        <color theme="1"/>
        <rFont val="Times New Roman"/>
        <family val="1"/>
        <charset val="204"/>
      </rPr>
      <t xml:space="preserve">якості:     </t>
    </r>
    <r>
      <rPr>
        <sz val="10"/>
        <color theme="1"/>
        <rFont val="Times New Roman"/>
        <family val="1"/>
        <charset val="204"/>
      </rPr>
      <t xml:space="preserve">           динаміка кількості вчителів/учительок, забезпечених технічним   засобами навчання,  у % до базового* року</t>
    </r>
  </si>
  <si>
    <r>
      <rPr>
        <b/>
        <sz val="10"/>
        <color theme="1"/>
        <rFont val="Times New Roman"/>
        <family val="1"/>
        <charset val="204"/>
      </rPr>
      <t xml:space="preserve">якості:     </t>
    </r>
    <r>
      <rPr>
        <sz val="10"/>
        <color theme="1"/>
        <rFont val="Times New Roman"/>
        <family val="1"/>
        <charset val="204"/>
      </rPr>
      <t xml:space="preserve">           динаміка кількості  підготовлених робітничих кадрів, у  % до базового* року</t>
    </r>
  </si>
  <si>
    <r>
      <t xml:space="preserve">витрат:                                                                         </t>
    </r>
    <r>
      <rPr>
        <sz val="10"/>
        <rFont val="Times New Roman"/>
        <family val="1"/>
        <charset val="204"/>
      </rPr>
      <t>обсяг видатків</t>
    </r>
    <r>
      <rPr>
        <sz val="10"/>
        <rFont val="Times New Roman"/>
        <family val="1"/>
        <charset val="204"/>
      </rPr>
      <t>, тис.грн</t>
    </r>
  </si>
  <si>
    <r>
      <t>продукту:</t>
    </r>
    <r>
      <rPr>
        <sz val="10"/>
        <color theme="1"/>
        <rFont val="Times New Roman"/>
        <family val="1"/>
        <charset val="204"/>
      </rPr>
      <t xml:space="preserve">           кількість дітей, які охоплені відпочинком, осіб </t>
    </r>
  </si>
  <si>
    <r>
      <t>ефективності:</t>
    </r>
    <r>
      <rPr>
        <sz val="10"/>
        <color theme="1"/>
        <rFont val="Times New Roman"/>
        <family val="1"/>
        <charset val="204"/>
      </rPr>
      <t xml:space="preserve"> середні витрати на організацію відпочинку однієї дитини,  тис. грн</t>
    </r>
  </si>
  <si>
    <r>
      <t xml:space="preserve">продукту:             </t>
    </r>
    <r>
      <rPr>
        <sz val="10"/>
        <color theme="1"/>
        <rFont val="Times New Roman"/>
        <family val="1"/>
        <charset val="204"/>
      </rPr>
      <t>кількість мистецьких шкіл забезпечених інструментами та обладнанням, од.</t>
    </r>
  </si>
  <si>
    <t>4.4.1 Проведення заходів з питань формування та реалізації державної мовної політики в закладах професійної (професійно-технічної) освіти (круглі столи, форуми, семінари тощо)</t>
  </si>
  <si>
    <t xml:space="preserve">4.4.2. Забезпечення цифровими засобами навчання закладів професійної (професійно-технічної) освіти    </t>
  </si>
  <si>
    <r>
      <t xml:space="preserve">продукту:           </t>
    </r>
    <r>
      <rPr>
        <sz val="10"/>
        <color theme="1"/>
        <rFont val="Times New Roman"/>
        <family val="1"/>
        <charset val="204"/>
      </rPr>
      <t>кількість закладів оснащених предметами, матеріалами, обладнаням, інвентарем, од.</t>
    </r>
  </si>
  <si>
    <r>
      <t xml:space="preserve">ефективності:                        </t>
    </r>
    <r>
      <rPr>
        <sz val="10"/>
        <color theme="1"/>
        <rFont val="Times New Roman"/>
        <family val="1"/>
        <charset val="204"/>
      </rPr>
      <t>середні витрати на придбання для одного закладу, тис грн</t>
    </r>
  </si>
  <si>
    <r>
      <t xml:space="preserve">продукту:                    </t>
    </r>
    <r>
      <rPr>
        <sz val="10"/>
        <color theme="1"/>
        <rFont val="Times New Roman"/>
        <family val="1"/>
        <charset val="204"/>
      </rPr>
      <t xml:space="preserve"> кількість придбаних примірників, од.</t>
    </r>
  </si>
  <si>
    <t>5.1.1. Забезпечення закладів освіти сучасними засобами навчання</t>
  </si>
  <si>
    <r>
      <t xml:space="preserve">продукту: </t>
    </r>
    <r>
      <rPr>
        <sz val="10"/>
        <color theme="1"/>
        <rFont val="Times New Roman"/>
        <family val="1"/>
        <charset val="204"/>
      </rPr>
      <t>кількість закладів освіти, оснащених сучасними засобами навчання, од.</t>
    </r>
  </si>
  <si>
    <r>
      <t xml:space="preserve">ефективності: </t>
    </r>
    <r>
      <rPr>
        <sz val="10"/>
        <color theme="1"/>
        <rFont val="Times New Roman"/>
        <family val="1"/>
        <charset val="204"/>
      </rPr>
      <t>середні витрати на створення та підтримку освітньої платформи, тис. грн</t>
    </r>
  </si>
  <si>
    <r>
      <t>продукту:</t>
    </r>
    <r>
      <rPr>
        <sz val="10"/>
        <rFont val="Times New Roman"/>
        <family val="1"/>
        <charset val="204"/>
      </rPr>
      <t xml:space="preserve"> кількість  ЗЗСО приведених у відповідність до вимог чинного законодавства, од.</t>
    </r>
  </si>
  <si>
    <r>
      <rPr>
        <b/>
        <sz val="10"/>
        <rFont val="Times New Roman"/>
        <family val="1"/>
        <charset val="204"/>
      </rPr>
      <t xml:space="preserve">якості: </t>
    </r>
    <r>
      <rPr>
        <sz val="10"/>
        <rFont val="Times New Roman"/>
        <family val="1"/>
        <charset val="204"/>
      </rPr>
      <t xml:space="preserve">              частка ЗЗСО, які трансформовані,   у % від потреби</t>
    </r>
  </si>
  <si>
    <r>
      <t xml:space="preserve">продукту:  </t>
    </r>
    <r>
      <rPr>
        <sz val="10"/>
        <rFont val="Times New Roman"/>
        <family val="1"/>
        <charset val="204"/>
      </rPr>
      <t>кількість  учасників, осіб, з них:</t>
    </r>
  </si>
  <si>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КНП "ОСВІТНЯ АГЕНЦІЯ МІСТА КИЄВА",  ЗЗСО, що підпорядковані Департаменту освіти і науки</t>
  </si>
  <si>
    <r>
      <rPr>
        <b/>
        <sz val="10"/>
        <rFont val="Times New Roman"/>
        <family val="1"/>
      </rPr>
      <t xml:space="preserve">продукту:                          </t>
    </r>
    <r>
      <rPr>
        <sz val="10"/>
        <rFont val="Times New Roman"/>
        <family val="1"/>
      </rPr>
      <t>кількість придбаного обладнання , устаткування та основних засобів, од.</t>
    </r>
  </si>
  <si>
    <r>
      <rPr>
        <b/>
        <sz val="10"/>
        <rFont val="Times New Roman"/>
        <family val="1"/>
      </rPr>
      <t xml:space="preserve">ефективності:                </t>
    </r>
    <r>
      <rPr>
        <sz val="10"/>
        <rFont val="Times New Roman"/>
        <family val="1"/>
      </rPr>
      <t xml:space="preserve"> середні витрати на придбання одного обладнання , устаткування та основного засобу, тис. грн</t>
    </r>
  </si>
  <si>
    <r>
      <rPr>
        <b/>
        <sz val="10"/>
        <rFont val="Times New Roman"/>
        <family val="1"/>
        <charset val="204"/>
      </rPr>
      <t xml:space="preserve">якості:     </t>
    </r>
    <r>
      <rPr>
        <sz val="10"/>
        <rFont val="Times New Roman"/>
        <family val="1"/>
        <charset val="204"/>
      </rPr>
      <t xml:space="preserve">           динаміка кількості придбаного обладнання, устаткування та основних засобів, у % до базового* року</t>
    </r>
  </si>
  <si>
    <r>
      <rPr>
        <b/>
        <sz val="10"/>
        <rFont val="Times New Roman"/>
        <family val="1"/>
      </rPr>
      <t xml:space="preserve">продукту: </t>
    </r>
    <r>
      <rPr>
        <sz val="10"/>
        <rFont val="Times New Roman"/>
        <family val="1"/>
      </rPr>
      <t xml:space="preserve">                   кількість майстрів/майстринь, які взяли участь у конкурсах, осіб, з них:</t>
    </r>
  </si>
  <si>
    <r>
      <rPr>
        <b/>
        <sz val="10"/>
        <rFont val="Times New Roman"/>
        <family val="1"/>
        <charset val="204"/>
      </rPr>
      <t xml:space="preserve">якості:     </t>
    </r>
    <r>
      <rPr>
        <sz val="10"/>
        <rFont val="Times New Roman"/>
        <family val="1"/>
        <charset val="204"/>
      </rPr>
      <t xml:space="preserve">           рівень забезпеченості цифровим обладнанням, у  % до потреби</t>
    </r>
  </si>
  <si>
    <r>
      <rPr>
        <b/>
        <sz val="10"/>
        <color theme="1"/>
        <rFont val="Times New Roman"/>
        <family val="1"/>
        <charset val="204"/>
      </rPr>
      <t xml:space="preserve">якості:     </t>
    </r>
    <r>
      <rPr>
        <sz val="10"/>
        <color theme="1"/>
        <rFont val="Times New Roman"/>
        <family val="1"/>
        <charset val="204"/>
      </rPr>
      <t xml:space="preserve">           динаміка кількості придбаних предметів, матеріалів, обладнання, інвентаря, у % до базового* року</t>
    </r>
  </si>
  <si>
    <r>
      <t xml:space="preserve">продукту:                  </t>
    </r>
    <r>
      <rPr>
        <sz val="10"/>
        <rFont val="Times New Roman"/>
        <family val="1"/>
        <charset val="204"/>
      </rPr>
      <t xml:space="preserve">кількість фахівців/ фахівчинь підготовлених на умовах регіонального замовлення, осіб </t>
    </r>
  </si>
  <si>
    <r>
      <t xml:space="preserve">ефективності:              </t>
    </r>
    <r>
      <rPr>
        <sz val="10"/>
        <rFont val="Times New Roman"/>
        <family val="1"/>
        <charset val="204"/>
      </rPr>
      <t xml:space="preserve"> середні витрати на підготовку одного фахівця/ фіахівчині, тис. грн</t>
    </r>
  </si>
  <si>
    <r>
      <rPr>
        <b/>
        <sz val="10"/>
        <rFont val="Times New Roman"/>
        <family val="1"/>
        <charset val="204"/>
      </rPr>
      <t xml:space="preserve">якості:     </t>
    </r>
    <r>
      <rPr>
        <sz val="10"/>
        <rFont val="Times New Roman"/>
        <family val="1"/>
        <charset val="204"/>
      </rPr>
      <t xml:space="preserve">           динаміка кількості підготовлених фахівців/фахівчинь, у % до базового* року</t>
    </r>
  </si>
  <si>
    <r>
      <rPr>
        <b/>
        <sz val="10"/>
        <color theme="1"/>
        <rFont val="Times New Roman"/>
        <family val="1"/>
        <charset val="204"/>
      </rPr>
      <t xml:space="preserve">якості:     </t>
    </r>
    <r>
      <rPr>
        <sz val="10"/>
        <color theme="1"/>
        <rFont val="Times New Roman"/>
        <family val="1"/>
        <charset val="204"/>
      </rPr>
      <t xml:space="preserve">           динаміка кількості слухачів/слухачок, які підвищили кваліфікацію, у  % до базового* року</t>
    </r>
  </si>
  <si>
    <r>
      <t xml:space="preserve">ефективності: </t>
    </r>
    <r>
      <rPr>
        <sz val="10"/>
        <rFont val="Times New Roman"/>
        <family val="1"/>
        <charset val="204"/>
      </rPr>
      <t>середні витрати на один заклад освіти, тис. грн</t>
    </r>
  </si>
  <si>
    <r>
      <t xml:space="preserve">ефективності: </t>
    </r>
    <r>
      <rPr>
        <sz val="10"/>
        <rFont val="Times New Roman"/>
        <family val="1"/>
        <charset val="204"/>
      </rPr>
      <t>середні витати на обладнання одного закладу  STEM та STEAM-обладнання, тис. грн.</t>
    </r>
  </si>
  <si>
    <r>
      <t xml:space="preserve">ефективності: </t>
    </r>
    <r>
      <rPr>
        <sz val="10"/>
        <color theme="1"/>
        <rFont val="Times New Roman"/>
        <family val="1"/>
        <charset val="204"/>
      </rPr>
      <t>середні витрати на підготовку одного/однієї  оператора/операторки, тис. грн</t>
    </r>
  </si>
  <si>
    <r>
      <t xml:space="preserve">ефективності: </t>
    </r>
    <r>
      <rPr>
        <sz val="10"/>
        <color rgb="FF000000"/>
        <rFont val="Times New Roman"/>
        <family val="1"/>
        <charset val="204"/>
      </rPr>
      <t>середні витрати на розробку однієї віртуальної методички, тис. грн</t>
    </r>
  </si>
  <si>
    <t>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 КНП «ОСВІТНЯ АГЕНЦІЯ МІСТА КИЄВА», Центр професійного розвитку педагогічних працівників м. Києва</t>
  </si>
  <si>
    <t xml:space="preserve"> 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заклади позашкільної освіти, що  підпорядковані Департаменту освіти і науки,   КНП "ОСВІТНЯ АГЕНЦІЯ  МІСТА КИЄВА"</t>
  </si>
  <si>
    <t>Департамент освіти і науки виконавчого органу Київської міської ради (Київської міської державної  адміністрації), Навчально-методичний кабінет професійної професійно- технічної освіти у м.Києві</t>
  </si>
  <si>
    <t>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 Центр професійного розвитку педагогічних працівників м. Києва</t>
  </si>
  <si>
    <r>
      <t xml:space="preserve">продукту: </t>
    </r>
    <r>
      <rPr>
        <sz val="10"/>
        <color theme="1"/>
        <rFont val="Times New Roman"/>
        <family val="1"/>
        <charset val="204"/>
      </rPr>
      <t>кількість учнів/учениць, од.</t>
    </r>
  </si>
  <si>
    <r>
      <t xml:space="preserve">ефективності: </t>
    </r>
    <r>
      <rPr>
        <sz val="10"/>
        <color theme="1"/>
        <rFont val="Times New Roman"/>
        <family val="1"/>
        <charset val="204"/>
      </rPr>
      <t xml:space="preserve">                  середні витрати на  одного учня/учениці, тис. грн</t>
    </r>
  </si>
  <si>
    <t>1.1.1.Облаштування та ремонт найпростіших укриттів у закладах освіти  у зв'язку зі збільшенням їх місткості (зокрема облаштування другого евакуаційного виходу, виконання ремонтних робіт з урахуванням потреб осіб із обмеженими фізичними можливостями, встановлення автоматичної пожежної сигналізації (АПС) з виведенням на диспечерський пульт спостереження  (перелік об’єктів затверджується щорічно)</t>
  </si>
  <si>
    <t>1.3.1. Забезпечення вхідної групи будівель та споруд закладів освіти  пандусами (піднімальними пристроями), облаштування універсальних туалетних приміщень для осіб з обмеженими фізичними можливостями  (перелік об’єктів затверджується щорічно)</t>
  </si>
  <si>
    <t xml:space="preserve">1.4.1. Будівництво, реконструкція закладів  освіти  </t>
  </si>
  <si>
    <t>2.2.1. Облаштування гендерно-чутливого освітнього та ігрового простору, зони психологічного розвантаження та денного відпочинку у тому числі в приміщеннях найпростіших укриттів ЗДО для створення комфортних умов  усім учасникам/учасницям освітнього процесу (придбання сучасних меблів, ігрового обладнання, іграшок тощо)</t>
  </si>
  <si>
    <t>2.1.Розвиток мережі закладів освіти та забезпечення рівного доступу до дошкільної освіти</t>
  </si>
  <si>
    <t xml:space="preserve">2.1.1. Щорічне встановлення видатків цільового фонду вирівнювання на утримання ЗДО, що не передбачені під час визначення базового фінансового нормативу бюджетної забезпеченості, зокрема утримання дошкільного навчального закладу №628 Дніпровського району, ЗДО комунальної форми власності, які тривалий час не функціонують і потребують відновлення діяльності, оптимізація мережі груп ЗДО (зокрема інклюзивних та компенсуючого типу) відповідно до потреб громади   </t>
  </si>
  <si>
    <r>
      <rPr>
        <b/>
        <sz val="10"/>
        <rFont val="Times New Roman"/>
        <family val="1"/>
        <charset val="204"/>
      </rPr>
      <t xml:space="preserve">якості:     </t>
    </r>
    <r>
      <rPr>
        <sz val="10"/>
        <rFont val="Times New Roman"/>
        <family val="1"/>
        <charset val="204"/>
      </rPr>
      <t xml:space="preserve">              частка санаторних шкіл - інтернатів, які трансформовані,   у % від потреби </t>
    </r>
  </si>
  <si>
    <t>4.2.2.Придбання спецодягу та первинного робочого інструменту для здобувачів/здобувачок освіти 1-го курсу навчання за регіональним замовленням</t>
  </si>
  <si>
    <t>4.3.1. Проведення конкурсів професійної майстерності серед майстрів/майстринь виробничого навчання з окремих професій (слюсар з ремонту колісних транспортних засобів, електромонтажник/електромонтер, агент з організації туризму, кондитер)</t>
  </si>
  <si>
    <r>
      <t xml:space="preserve">ефективності: </t>
    </r>
    <r>
      <rPr>
        <sz val="10"/>
        <color theme="1"/>
        <rFont val="Times New Roman"/>
        <family val="1"/>
        <charset val="204"/>
      </rPr>
      <t>середній розмір стипендії на рік, тис.грн</t>
    </r>
  </si>
  <si>
    <t>6.1.2.  Стимулювання працівників освітньої галузі  міста Києва заохочувальною відзнакою "Відмінник столичної освіти"</t>
  </si>
  <si>
    <r>
      <t xml:space="preserve">продукту: </t>
    </r>
    <r>
      <rPr>
        <sz val="10"/>
        <color theme="1"/>
        <rFont val="Times New Roman"/>
        <family val="1"/>
        <charset val="204"/>
      </rPr>
      <t>кількість відмінників столичної освіти, осіб</t>
    </r>
  </si>
  <si>
    <r>
      <t xml:space="preserve">ефективності: </t>
    </r>
    <r>
      <rPr>
        <sz val="10"/>
        <color theme="1"/>
        <rFont val="Times New Roman"/>
        <family val="1"/>
        <charset val="204"/>
      </rPr>
      <t>середній розмір витрат на 1 відмінника, тис.грн</t>
    </r>
  </si>
  <si>
    <t>3.2.Формування позитивного іміджу столичної освіти серед громадськості, креативної, інноваційної конкурентноспроможної творчої особистості, патріотичне виховання та підтримка талановитих дітей у рамках релізації мистецьких проєктів</t>
  </si>
  <si>
    <t>3.1.2. Оновлення спеціалізованого бібліотечного фонду мистецьких шкіл</t>
  </si>
  <si>
    <t>3.3.Забезпечення державних стандартів мистецької освіти</t>
  </si>
  <si>
    <t>Районні в місті Києві державні адміністрації</t>
  </si>
  <si>
    <r>
      <rPr>
        <b/>
        <sz val="10"/>
        <rFont val="Times New Roman"/>
        <family val="1"/>
        <charset val="204"/>
      </rPr>
      <t>продукту:</t>
    </r>
    <r>
      <rPr>
        <sz val="10"/>
        <rFont val="Times New Roman"/>
        <family val="1"/>
        <charset val="204"/>
      </rPr>
      <t xml:space="preserve"> кількість ЗДО у які придбано обладнання, од.</t>
    </r>
  </si>
  <si>
    <t xml:space="preserve"> Департамент культури виконавчого органу Київської міської ради (Київської міської державної  адміністрації), заклади вищої мистецької освіти</t>
  </si>
  <si>
    <r>
      <rPr>
        <b/>
        <sz val="10"/>
        <rFont val="Times New Roman"/>
        <family val="1"/>
        <charset val="204"/>
      </rPr>
      <t xml:space="preserve">якості:                            </t>
    </r>
    <r>
      <rPr>
        <sz val="10"/>
        <rFont val="Times New Roman"/>
        <family val="1"/>
        <charset val="204"/>
      </rPr>
      <t>рівень виконання робіт з будівництва та реконструкції закладів освіти, %</t>
    </r>
  </si>
  <si>
    <r>
      <rPr>
        <b/>
        <sz val="10"/>
        <rFont val="Times New Roman"/>
        <family val="1"/>
        <charset val="204"/>
      </rPr>
      <t xml:space="preserve">якості:                            </t>
    </r>
    <r>
      <rPr>
        <sz val="10"/>
        <rFont val="Times New Roman"/>
        <family val="1"/>
        <charset val="204"/>
      </rPr>
      <t>рівень виконання робіт з капітального ремонту закладів фахової передвищої та вищої освіти, %</t>
    </r>
  </si>
  <si>
    <r>
      <rPr>
        <b/>
        <sz val="10"/>
        <color theme="1"/>
        <rFont val="Times New Roman"/>
        <family val="1"/>
        <charset val="204"/>
      </rPr>
      <t xml:space="preserve">якості:     </t>
    </r>
    <r>
      <rPr>
        <sz val="10"/>
        <color theme="1"/>
        <rFont val="Times New Roman"/>
        <family val="1"/>
        <charset val="204"/>
      </rPr>
      <t xml:space="preserve">           рівень проведення робіт з будівництва та реконструкції мистецьких шкіл, %</t>
    </r>
  </si>
  <si>
    <r>
      <rPr>
        <b/>
        <sz val="10"/>
        <color theme="1"/>
        <rFont val="Times New Roman"/>
        <family val="1"/>
        <charset val="204"/>
      </rPr>
      <t xml:space="preserve">якості:     </t>
    </r>
    <r>
      <rPr>
        <sz val="10"/>
        <color theme="1"/>
        <rFont val="Times New Roman"/>
        <family val="1"/>
        <charset val="204"/>
      </rPr>
      <t xml:space="preserve">           рівень виконання робіт з капітального ремонту мистецьких шкіл, %</t>
    </r>
  </si>
  <si>
    <r>
      <rPr>
        <b/>
        <sz val="10"/>
        <color rgb="FF000000"/>
        <rFont val="Times New Roman"/>
        <family val="1"/>
        <charset val="204"/>
      </rPr>
      <t xml:space="preserve">якості:                            </t>
    </r>
    <r>
      <rPr>
        <sz val="10"/>
        <color rgb="FF000000"/>
        <rFont val="Times New Roman"/>
        <family val="1"/>
        <charset val="204"/>
      </rPr>
      <t>рівень готовності об'єктів, %</t>
    </r>
  </si>
  <si>
    <r>
      <rPr>
        <b/>
        <sz val="10"/>
        <color theme="1"/>
        <rFont val="Times New Roman"/>
        <family val="1"/>
        <charset val="204"/>
      </rPr>
      <t xml:space="preserve">якості:     </t>
    </r>
    <r>
      <rPr>
        <sz val="10"/>
        <color theme="1"/>
        <rFont val="Times New Roman"/>
        <family val="1"/>
        <charset val="204"/>
      </rPr>
      <t xml:space="preserve">          динаміка кількості учасників, які взяли участь у проведенні учнівських олімпіад та конкурсів,   у % до базового* року</t>
    </r>
  </si>
  <si>
    <r>
      <rPr>
        <b/>
        <sz val="10"/>
        <color theme="1"/>
        <rFont val="Times New Roman"/>
        <family val="1"/>
        <charset val="204"/>
      </rPr>
      <t xml:space="preserve">якості:     </t>
    </r>
    <r>
      <rPr>
        <sz val="10"/>
        <color theme="1"/>
        <rFont val="Times New Roman"/>
        <family val="1"/>
        <charset val="204"/>
      </rPr>
      <t xml:space="preserve">           рівень забезпечення призерів стипендіями, %</t>
    </r>
  </si>
  <si>
    <r>
      <rPr>
        <b/>
        <sz val="10"/>
        <color theme="1"/>
        <rFont val="Times New Roman"/>
        <family val="1"/>
        <charset val="204"/>
      </rPr>
      <t xml:space="preserve">якості:     </t>
    </r>
    <r>
      <rPr>
        <sz val="10"/>
        <color theme="1"/>
        <rFont val="Times New Roman"/>
        <family val="1"/>
        <charset val="204"/>
      </rPr>
      <t xml:space="preserve">           рівень виконання заходів, %</t>
    </r>
  </si>
  <si>
    <r>
      <rPr>
        <b/>
        <sz val="10"/>
        <rFont val="Times New Roman"/>
        <family val="1"/>
        <charset val="204"/>
      </rPr>
      <t xml:space="preserve">якості:     </t>
    </r>
    <r>
      <rPr>
        <sz val="10"/>
        <rFont val="Times New Roman"/>
        <family val="1"/>
        <charset val="204"/>
      </rPr>
      <t xml:space="preserve">           динаміка кількості охоплених дітей, у % до базового* року, %</t>
    </r>
  </si>
  <si>
    <r>
      <rPr>
        <b/>
        <sz val="10"/>
        <color theme="1"/>
        <rFont val="Times New Roman"/>
        <family val="1"/>
        <charset val="204"/>
      </rPr>
      <t xml:space="preserve">якості:     </t>
    </r>
    <r>
      <rPr>
        <sz val="10"/>
        <color theme="1"/>
        <rFont val="Times New Roman"/>
        <family val="1"/>
        <charset val="204"/>
      </rPr>
      <t xml:space="preserve">           рівень забезпечення закладів позашкільної освіти обладнанням, %</t>
    </r>
  </si>
  <si>
    <r>
      <t xml:space="preserve">продукту:              </t>
    </r>
    <r>
      <rPr>
        <sz val="10"/>
        <rFont val="Times New Roman"/>
        <family val="1"/>
        <charset val="204"/>
      </rPr>
      <t>кількість мистецьких шкіл, у яких оновлено бібліотечний фонд, од.</t>
    </r>
  </si>
  <si>
    <r>
      <rPr>
        <b/>
        <sz val="10"/>
        <color theme="1"/>
        <rFont val="Times New Roman"/>
        <family val="1"/>
        <charset val="204"/>
      </rPr>
      <t xml:space="preserve">якості:     </t>
    </r>
    <r>
      <rPr>
        <sz val="10"/>
        <color theme="1"/>
        <rFont val="Times New Roman"/>
        <family val="1"/>
        <charset val="204"/>
      </rPr>
      <t xml:space="preserve">           рівень виконання заходів,  %</t>
    </r>
  </si>
  <si>
    <r>
      <rPr>
        <b/>
        <sz val="10"/>
        <color theme="1"/>
        <rFont val="Times New Roman"/>
        <family val="1"/>
        <charset val="204"/>
      </rPr>
      <t xml:space="preserve">якості:     </t>
    </r>
    <r>
      <rPr>
        <sz val="10"/>
        <color theme="1"/>
        <rFont val="Times New Roman"/>
        <family val="1"/>
        <charset val="204"/>
      </rPr>
      <t xml:space="preserve">           рівень забезпечення  лабораторій та кабінетів закладів фахової передвищої освіти предметами, матеріалами, обладнанням  та інвентарем, %</t>
    </r>
  </si>
  <si>
    <r>
      <rPr>
        <b/>
        <sz val="10"/>
        <color theme="1"/>
        <rFont val="Times New Roman"/>
        <family val="1"/>
        <charset val="204"/>
      </rPr>
      <t xml:space="preserve">якості:     </t>
    </r>
    <r>
      <rPr>
        <sz val="10"/>
        <color theme="1"/>
        <rFont val="Times New Roman"/>
        <family val="1"/>
        <charset val="204"/>
      </rPr>
      <t xml:space="preserve">           рівень забезпечення закладів вищої мистецької освіти предметами, матеріалами, обладнанням та інвентарем, %</t>
    </r>
  </si>
  <si>
    <r>
      <t xml:space="preserve">ефективності:              </t>
    </r>
    <r>
      <rPr>
        <sz val="10"/>
        <rFont val="Times New Roman"/>
        <family val="1"/>
        <charset val="204"/>
      </rPr>
      <t xml:space="preserve"> середні витрати на один заклад, тис. грн</t>
    </r>
  </si>
  <si>
    <r>
      <t xml:space="preserve">продукту:      </t>
    </r>
    <r>
      <rPr>
        <sz val="10"/>
        <color rgb="FF000000"/>
        <rFont val="Times New Roman"/>
        <family val="1"/>
        <charset val="204"/>
      </rPr>
      <t>кількість закладів, од.</t>
    </r>
  </si>
  <si>
    <r>
      <t xml:space="preserve">ефективності: </t>
    </r>
    <r>
      <rPr>
        <sz val="10"/>
        <color theme="1"/>
        <rFont val="Times New Roman"/>
        <family val="1"/>
        <charset val="204"/>
      </rPr>
      <t>середні витрати на розвиток спроможності закладу, тис. грн</t>
    </r>
  </si>
  <si>
    <t xml:space="preserve"> 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заклади освіти, що  підпорядковані Департаменту освіти і науки</t>
  </si>
  <si>
    <t>Департамент освіти і науки  виконавчого органу Київської міської ради (Київської міської державної  адміністрації), районні в місті Києві державні адміністрації,   заклади освіти, що  підпорядковані Департаменту освіти і науки</t>
  </si>
  <si>
    <r>
      <rPr>
        <b/>
        <sz val="10"/>
        <color theme="1"/>
        <rFont val="Times New Roman"/>
        <family val="1"/>
        <charset val="204"/>
      </rPr>
      <t xml:space="preserve">якості:                           </t>
    </r>
    <r>
      <rPr>
        <sz val="10"/>
        <color theme="1"/>
        <rFont val="Times New Roman"/>
        <family val="1"/>
        <charset val="204"/>
      </rPr>
      <t>рівень забезпечення закладів освіти АПС, у % до потреби</t>
    </r>
  </si>
  <si>
    <r>
      <rPr>
        <b/>
        <sz val="10"/>
        <color theme="1"/>
        <rFont val="Times New Roman"/>
        <family val="1"/>
        <charset val="204"/>
      </rPr>
      <t xml:space="preserve">якості:                            </t>
    </r>
    <r>
      <rPr>
        <sz val="10"/>
        <color theme="1"/>
        <rFont val="Times New Roman"/>
        <family val="1"/>
        <charset val="204"/>
      </rPr>
      <t>рівень забезпечення закладів освіти пандусами (піднімальними пристоями), у % до потреби</t>
    </r>
  </si>
  <si>
    <r>
      <rPr>
        <b/>
        <sz val="10"/>
        <rFont val="Times New Roman"/>
        <family val="1"/>
        <charset val="204"/>
      </rPr>
      <t xml:space="preserve">якості:                            </t>
    </r>
    <r>
      <rPr>
        <sz val="10"/>
        <rFont val="Times New Roman"/>
        <family val="1"/>
        <charset val="204"/>
      </rPr>
      <t>рівень забезпеченості  другим евакуаційним виходом, АПС в  найпростіших укриттях, у  % до потреби</t>
    </r>
  </si>
  <si>
    <r>
      <rPr>
        <b/>
        <sz val="10"/>
        <rFont val="Times New Roman"/>
        <family val="1"/>
        <charset val="204"/>
      </rPr>
      <t>продукту:</t>
    </r>
    <r>
      <rPr>
        <sz val="10"/>
        <rFont val="Times New Roman"/>
        <family val="1"/>
        <charset val="204"/>
      </rPr>
      <t xml:space="preserve">                                     кількість об'єктів, в яких проведено капітальні ремонтні роботи, од.</t>
    </r>
  </si>
  <si>
    <r>
      <rPr>
        <b/>
        <sz val="10"/>
        <rFont val="Times New Roman"/>
        <family val="1"/>
        <charset val="204"/>
      </rPr>
      <t xml:space="preserve">якості:                            </t>
    </r>
    <r>
      <rPr>
        <sz val="10"/>
        <rFont val="Times New Roman"/>
        <family val="1"/>
        <charset val="204"/>
      </rPr>
      <t>динаміка кількості закладів освіти, у яких проведено капітальний ремонт, у % до базового* року</t>
    </r>
  </si>
  <si>
    <t xml:space="preserve"> Департамент освіти і науки виконавчого органу Київської міської ради (Київської міської державної  адміністрації), заклади  професійної (професійно-технічної ) освіти, заклади  фахової передвищої та вищої освіти </t>
  </si>
  <si>
    <r>
      <rPr>
        <b/>
        <sz val="10"/>
        <rFont val="Times New Roman"/>
        <family val="1"/>
        <charset val="204"/>
      </rPr>
      <t xml:space="preserve">якості:                            </t>
    </r>
    <r>
      <rPr>
        <sz val="10"/>
        <rFont val="Times New Roman"/>
        <family val="1"/>
        <charset val="204"/>
      </rPr>
      <t>рівень виконання поточних ремонтних робіт у закладах освіти, %</t>
    </r>
  </si>
  <si>
    <t xml:space="preserve">Департамент освіти і науки виконавчого органу Київської міської ради (Київської міської державної  адміністрації), заклади професійної (професійно-технічної) освіти, заклади  фахової передвищої та вищої освіти </t>
  </si>
  <si>
    <t xml:space="preserve">2.2.2.Матеріально-технічне забезпечення будівель ЗДО, у тому числі  обладнанням для харчоблоків та пральних кімнат 
</t>
  </si>
  <si>
    <t>2.3.Трансформація  існуючої  мережі закладів загальної середньої освіти відповідно до потреб мешканців/мешканок територіальної громади міста Києва з приведенням типів ЗЗСО у відповідність до вимог чинного законодавства</t>
  </si>
  <si>
    <t>2.3.1 Приведення типів ЗЗСО та їх установчих документів у відповідність до вимог Закону України «Про повну загальну середню освіту»</t>
  </si>
  <si>
    <r>
      <t xml:space="preserve">2.4.1. Організація та проведення учнівських олімпіад та конкурсів, спрямованих на формування наскрізних умінь та компетентностей </t>
    </r>
    <r>
      <rPr>
        <sz val="10"/>
        <rFont val="Times New Roman"/>
        <family val="1"/>
        <charset val="204"/>
      </rPr>
      <t>учнів/учениць</t>
    </r>
  </si>
  <si>
    <r>
      <t xml:space="preserve">2.4.2.  Забезпечення </t>
    </r>
    <r>
      <rPr>
        <sz val="10"/>
        <rFont val="Times New Roman"/>
        <family val="1"/>
        <charset val="204"/>
      </rPr>
      <t>вчителів/учительок</t>
    </r>
    <r>
      <rPr>
        <sz val="10"/>
        <color theme="1"/>
        <rFont val="Times New Roman"/>
        <family val="1"/>
        <charset val="204"/>
      </rPr>
      <t xml:space="preserve"> закладів загальної середньої освіти засобами навчання, зокрема технічними</t>
    </r>
  </si>
  <si>
    <t>2.4.3.  Відзначення стипендіями призерів /призерок олімпіад, конкурсів і турнірів із навчальних предметів та  МАН</t>
  </si>
  <si>
    <r>
      <t xml:space="preserve">продукту: </t>
    </r>
    <r>
      <rPr>
        <sz val="10"/>
        <color theme="1"/>
        <rFont val="Times New Roman"/>
        <family val="1"/>
        <charset val="204"/>
      </rPr>
      <t>кількість призерів/призерок, осіб</t>
    </r>
  </si>
  <si>
    <r>
      <t xml:space="preserve">продукту:    </t>
    </r>
    <r>
      <rPr>
        <sz val="10"/>
        <color theme="1"/>
        <rFont val="Times New Roman"/>
        <family val="1"/>
        <charset val="204"/>
      </rPr>
      <t>кількість проведених заходів, од</t>
    </r>
  </si>
  <si>
    <r>
      <t>ефективності:</t>
    </r>
    <r>
      <rPr>
        <sz val="10"/>
        <color theme="1"/>
        <rFont val="Times New Roman"/>
        <family val="1"/>
        <charset val="204"/>
      </rPr>
      <t xml:space="preserve"> середні витрати на проведення одного заходу, тис. грн</t>
    </r>
  </si>
  <si>
    <r>
      <rPr>
        <b/>
        <sz val="10"/>
        <color theme="1"/>
        <rFont val="Times New Roman"/>
        <family val="1"/>
        <charset val="204"/>
      </rPr>
      <t xml:space="preserve">якості:     </t>
    </r>
    <r>
      <rPr>
        <sz val="10"/>
        <color theme="1"/>
        <rFont val="Times New Roman"/>
        <family val="1"/>
        <charset val="204"/>
      </rPr>
      <t xml:space="preserve">           динаміка кількості дітей, охоплених відпочинком, у % до базового* року</t>
    </r>
  </si>
  <si>
    <r>
      <rPr>
        <b/>
        <sz val="10"/>
        <color theme="1"/>
        <rFont val="Times New Roman"/>
        <family val="1"/>
        <charset val="204"/>
      </rPr>
      <t xml:space="preserve">якості:     </t>
    </r>
    <r>
      <rPr>
        <sz val="10"/>
        <color theme="1"/>
        <rFont val="Times New Roman"/>
        <family val="1"/>
        <charset val="204"/>
      </rPr>
      <t xml:space="preserve">           динаміка кількості реалізованих проєктів, у % до базового* року, %</t>
    </r>
  </si>
  <si>
    <t xml:space="preserve">4.1.1.Встановлення резервного фонду для покриття видатків в закладах професійної (професійно-технічної) освіти за регіональним замовленням, які не враховує Методика визначення вартості послуги  </t>
  </si>
  <si>
    <r>
      <rPr>
        <b/>
        <sz val="10"/>
        <color theme="1"/>
        <rFont val="Times New Roman"/>
        <family val="1"/>
      </rPr>
      <t>ефективності:</t>
    </r>
    <r>
      <rPr>
        <sz val="10"/>
        <color theme="1"/>
        <rFont val="Times New Roman"/>
        <family val="1"/>
        <charset val="204"/>
      </rPr>
      <t xml:space="preserve">               середні витрати на 1 учасника конкурсу</t>
    </r>
    <r>
      <rPr>
        <sz val="10"/>
        <color theme="1"/>
        <rFont val="Times New Roman"/>
        <family val="1"/>
      </rPr>
      <t>, тис.грн</t>
    </r>
  </si>
  <si>
    <t xml:space="preserve">1.4.2. Капітальний ремонт закладів освіти (перелік об’єктів затверджується щорічно)
</t>
  </si>
  <si>
    <t>1.4.3. Капітальний ремонт закладів професійної (професійно-технічної) освіти ( у тому числі гуртожитків, спортивних майданчиків) (перелік об’єктів затверджується щорічно)</t>
  </si>
  <si>
    <t>1.4.4.  Капітальний ремонт закладів фахової передвищої та вищої світи (перелік об’єктів затверджується щорічно)</t>
  </si>
  <si>
    <t>1.4.5.Проведення поточних ремонтів у закладах освіти,  у тому числі у найпростіших укриттях</t>
  </si>
  <si>
    <t>1.4.7. Будівництво та реконструкція мистецьких шкіл (перелік об’єктів затверджується щорічно)</t>
  </si>
  <si>
    <t xml:space="preserve">1.4.8 Капітальний ремонт мистецьких шкіл </t>
  </si>
  <si>
    <t xml:space="preserve">2.5.  Подолання освітніх розривів (заклади загальної середньої освіти) </t>
  </si>
  <si>
    <t>2.5.1.  Проведення заходів щодо подолання освітніх розривів (семінари-практикуми, тренінги, круглі столи, робочі зустрічі тощо)</t>
  </si>
  <si>
    <t>2.6. Зміцнення державного статусу української мови в ЗЗСО</t>
  </si>
  <si>
    <t>2.6.1. Організація та проведення заходів із зміцнення державного статусу української мови в ЗЗСО, у тому числі поповнення бібліотечних фондів</t>
  </si>
  <si>
    <t>2.7.1.Трасформація (реформування) мережі санаторних шкіл-інтернатів з урахуванням потреб громади</t>
  </si>
  <si>
    <t>2.7.2. Розширення мережі ЗЗСО, в яких створено інклюзивні та спеціальні класи для учнів з особливими освітніми потребами з урахуванням освітніх труднощів та рівнів підтримки в освітньому процесі , зокрема ресурсні кімнати</t>
  </si>
  <si>
    <t>2.7.3. Розширення інклюзивно-ресурсних центрів шляхом відкриття  філій та їх облаштуванням</t>
  </si>
  <si>
    <t>4.5. Оновлення матеріально-технічної та навчально-методичної бази закладів вищої та фахової передвищої освіти</t>
  </si>
  <si>
    <t xml:space="preserve"> 4.5.1. Придбання предметів, матеріалів, обладнання, інвентаря для забезпечення реалізації освітніх програм в Інституті післядипломної освіти Київського університету імені Бориса Грінченка</t>
  </si>
  <si>
    <t xml:space="preserve">4.5.2. Придбання для закладів фахової передвищої освіти предметів, матеріалів, обладнання, інвентарю, оснащення лабораторій, кабінетів </t>
  </si>
  <si>
    <t xml:space="preserve">4.5.3. Придбання  для закладів вищої мистецької освіти реквізиту, сценічних костюмів та взуття (обладнання для їхнього утримання та ремонту), предметів, матеріалів, обладнання та інвентаря; предметів довгострокового використання; транспортних засобів </t>
  </si>
  <si>
    <t>4.5.4. Придбання спеціалізованої навчальної літератури для поповнення бібліотечного фонду закладів вищої  мистецької освіти     та  забезпечення підручниками і навчально-методичними комплектами</t>
  </si>
  <si>
    <t xml:space="preserve">4.6.1. Встановлення резервного фонду для покриття видатків в закладах фахової передвищої та вищої освіти за регіональним замовленням, які не враховує Методика визначення вартості послуги </t>
  </si>
  <si>
    <t>4.6.2. Формування та розміщення регіонального замовлення на основі укладених договорів з урахуванням оплати послуги на підготовку фахівців/фахівчинь, наукових, науково-педагогічних кадрів у закладах фахової передвищої та вищої освіти</t>
  </si>
  <si>
    <t>4.6.3. Підвищення кваліфікації та перепідготовка кадрів за кошти бюджету м. Києва, зокрема педагогічних працівників та медичних сестер/братів закладів освіти, державних службовців</t>
  </si>
  <si>
    <t xml:space="preserve">4.7.1.  Популяризація української мови шляхом  створення  віртуальної музейної зали  </t>
  </si>
  <si>
    <r>
      <t xml:space="preserve">продукту:  </t>
    </r>
    <r>
      <rPr>
        <sz val="10"/>
        <rFont val="Times New Roman"/>
        <family val="1"/>
        <charset val="204"/>
      </rPr>
      <t>кількість ЗДО, які  утримувалися за рахунок цільового фонду вирівнювання, од.</t>
    </r>
  </si>
  <si>
    <r>
      <t xml:space="preserve">2.4. Створення стимулів для мотивування  </t>
    </r>
    <r>
      <rPr>
        <sz val="10"/>
        <rFont val="Times New Roman"/>
        <family val="1"/>
        <charset val="204"/>
      </rPr>
      <t>учасників/учасниць</t>
    </r>
    <r>
      <rPr>
        <sz val="10"/>
        <color theme="1"/>
        <rFont val="Times New Roman"/>
        <family val="1"/>
        <charset val="204"/>
      </rPr>
      <t xml:space="preserve"> освітнього процесу до навчання в закладах загальної середньої освіти  </t>
    </r>
  </si>
  <si>
    <r>
      <t xml:space="preserve">продукту: </t>
    </r>
    <r>
      <rPr>
        <sz val="10"/>
        <color theme="1"/>
        <rFont val="Times New Roman"/>
        <family val="1"/>
        <charset val="204"/>
      </rPr>
      <t xml:space="preserve">кількість проведених заходів, од. </t>
    </r>
  </si>
  <si>
    <t>2.7. Забезпечення рівного доступу дітям, в тому числі з особливими освітніми потребами, до освіти</t>
  </si>
  <si>
    <t>2.7.4  Забезпечення бланками єдиного квитка дітей-сиріт та дітей, позбавлених батьківського піклування</t>
  </si>
  <si>
    <t>2.8. Розвиток мережі закладів позашкільної освіти як центрів виховної роботи та поширення неформальної освіти</t>
  </si>
  <si>
    <t xml:space="preserve">2.8.1. Придбання обладнання закладам позашкільної освіти для розвитку гурткової роботи за відповідними напрямами, зокрема комплексного обладнання для гуртків  (груп) з інклюзивним навчанням </t>
  </si>
  <si>
    <t>2.9.Стимулювання інноваційної та дослідницької  діяльності в закладах позашкільної освіти</t>
  </si>
  <si>
    <t>2.9.1. Проведення заходів з позашкільної роботи, зокрема з інноваційної та дослідницької  діяльності, партисипації дітей та учнівської молоді, конкурсів, змагань, фестивалів</t>
  </si>
  <si>
    <t>2.10. Забезпечення національно-патріотичного виховання дітей та учнівської молоді міста Києва</t>
  </si>
  <si>
    <t>2.10.1.  Організація та проведення  заходів національно-патріотичного виховання  (районних, міських), зокрема  Всеукраїнської дитячо-юнацької військово-патріотичної гри «Сокіл» («Джура»)</t>
  </si>
  <si>
    <t>2.10.2. Розвиток мережі  таборів відпочинку з денним перебуванням дітей та мовних таборів на базі закладів освіти міста Києва</t>
  </si>
  <si>
    <t xml:space="preserve">2.10.3. Організація та проведення заходів дозвілля дітей під час канікул, проведення новорічних та різдвяних свят </t>
  </si>
  <si>
    <r>
      <t xml:space="preserve">2.10.4. Організація та проведення міжнародних, всеукраїнських, міських заходів із зміцнення державного статусу української мови в закладах позашкільної освіти       </t>
    </r>
    <r>
      <rPr>
        <sz val="10"/>
        <color rgb="FFFF0000"/>
        <rFont val="Times New Roman"/>
        <family val="1"/>
        <charset val="204"/>
      </rPr>
      <t xml:space="preserve"> </t>
    </r>
  </si>
  <si>
    <t>2.11. Розвиток організаційної структури системи психологічної служби</t>
  </si>
  <si>
    <t>3.1.1. Придбання для мистецьких шкіл музичних інструментів, комп’ютерної техніки, звукової апаратури, аудіо та відео обладнання; реквізиту, сценічних костюмів та взуття; шкільних меблів та меблів для залів, предметів, матеріалів, обладнання та інвентаря; предметів довгострокового використання</t>
  </si>
  <si>
    <r>
      <rPr>
        <b/>
        <sz val="10"/>
        <color theme="1"/>
        <rFont val="Times New Roman"/>
        <family val="1"/>
        <charset val="204"/>
      </rPr>
      <t xml:space="preserve">якості:     </t>
    </r>
    <r>
      <rPr>
        <sz val="10"/>
        <color theme="1"/>
        <rFont val="Times New Roman"/>
        <family val="1"/>
        <charset val="204"/>
      </rPr>
      <t xml:space="preserve">           динаміка кількості  здобувачів/здобувачок 1 курсу навчання за регіональним замовленням, які забезпечені спецодягом та первинним робочим інструментом, у % до базового* року</t>
    </r>
  </si>
  <si>
    <r>
      <rPr>
        <b/>
        <sz val="10"/>
        <color theme="1"/>
        <rFont val="Times New Roman"/>
        <family val="1"/>
      </rPr>
      <t xml:space="preserve">продукту:                          </t>
    </r>
    <r>
      <rPr>
        <sz val="10"/>
        <color theme="1"/>
        <rFont val="Times New Roman"/>
        <family val="1"/>
        <charset val="204"/>
      </rPr>
      <t xml:space="preserve">кількість здобувачів/здобувачок 1 курсу навчання за регіональним замовленням, які забезпечені спецодягом та первинним робочим інструментом, осіб, з них:    </t>
    </r>
  </si>
  <si>
    <t>4.3.Покращення навчально-методичного забеспечення освітнього процесу в ЗП(ПТ)О</t>
  </si>
  <si>
    <t>4.4.Зміцнення державного статусу української мови в ЗП(ПТ)О</t>
  </si>
  <si>
    <t>4.6. Забезпечення закладів освіти достатньою кількістю кваліфікованих спеціалістів/спеціалісток</t>
  </si>
  <si>
    <t>4.7. Зміцнення державного статусу української мови в ЗФПО та ЗВО</t>
  </si>
  <si>
    <t>5.1. Формування єдиного інформаційно-освітнього простору та розвиток нових освітніх форм</t>
  </si>
  <si>
    <r>
      <t xml:space="preserve">5.1.3. Забезпечення закладів освіти  STEM та STEAM-обладнанням </t>
    </r>
    <r>
      <rPr>
        <sz val="10"/>
        <rFont val="Times New Roman"/>
        <family val="1"/>
        <charset val="204"/>
      </rPr>
      <t>з урахуванням потреб учнів/учениць</t>
    </r>
  </si>
  <si>
    <t>5.1.4. Розробка та реалізація проєктів розвитку освітнього інформаційно-медійного простору</t>
  </si>
  <si>
    <t xml:space="preserve">5.1.7. Створення та підтримка освітньої платформи ВІРТУАЛЬНИЙ ДАЙДЖЕСТ «містОК». </t>
  </si>
  <si>
    <t>6.1.3. Організація,  проведення та визначення переможців/переможниць міського конкурсу «Керівник року»</t>
  </si>
  <si>
    <t>6.1.4. Проведення загальноміських конкурсів за визначеними номінаціями на отримання гранту Київського міського голови у галузі "Освіта"</t>
  </si>
  <si>
    <t>6.1. Створення стимулів для заохочення працівників освітньої галузі та піднесення престижу професії педагога</t>
  </si>
  <si>
    <t>1.4.6.Створення безпечного освітнього простору у закладах професійної (професійно-технічної) освіти,  фахової передвищої та вищої освіти  (встановлення "тривожних" кнопок, сигналізації, камери відеоспостереження, ремонт/встановлення огорож та ін.)</t>
  </si>
  <si>
    <r>
      <t xml:space="preserve">якості:                                       </t>
    </r>
    <r>
      <rPr>
        <sz val="10"/>
        <rFont val="Times New Roman"/>
        <family val="1"/>
        <charset val="204"/>
      </rPr>
      <t xml:space="preserve"> рівень забезпечення  утримання ЗДО за рахунок цільового фонду, %</t>
    </r>
  </si>
  <si>
    <r>
      <rPr>
        <b/>
        <sz val="10"/>
        <rFont val="Times New Roman"/>
        <family val="1"/>
        <charset val="204"/>
      </rPr>
      <t xml:space="preserve">продукту: </t>
    </r>
    <r>
      <rPr>
        <sz val="10"/>
        <rFont val="Times New Roman"/>
        <family val="1"/>
        <charset val="204"/>
      </rPr>
      <t xml:space="preserve">             кількість ЗЗСО, в яких створено інклюзивні та спеціальні класи, ресурсні кімнати, од.</t>
    </r>
  </si>
  <si>
    <r>
      <t xml:space="preserve">продукту: </t>
    </r>
    <r>
      <rPr>
        <sz val="10"/>
        <color theme="1"/>
        <rFont val="Times New Roman"/>
        <family val="1"/>
        <charset val="204"/>
      </rPr>
      <t>кількість бланків єдиного квитка, од.</t>
    </r>
  </si>
  <si>
    <r>
      <t>ефективності:</t>
    </r>
    <r>
      <rPr>
        <sz val="10"/>
        <rFont val="Times New Roman"/>
        <family val="1"/>
        <charset val="204"/>
      </rPr>
      <t xml:space="preserve"> середні витрати на одного вихованця, що приймав участь у заходах, тис.грн</t>
    </r>
  </si>
  <si>
    <r>
      <rPr>
        <b/>
        <sz val="10"/>
        <color theme="1"/>
        <rFont val="Times New Roman"/>
        <family val="1"/>
        <charset val="204"/>
      </rPr>
      <t xml:space="preserve">якості:     </t>
    </r>
    <r>
      <rPr>
        <sz val="10"/>
        <color theme="1"/>
        <rFont val="Times New Roman"/>
        <family val="1"/>
        <charset val="204"/>
      </rPr>
      <t xml:space="preserve">           рівень розробки проєкту, %</t>
    </r>
  </si>
  <si>
    <r>
      <rPr>
        <b/>
        <sz val="10"/>
        <color theme="1"/>
        <rFont val="Times New Roman"/>
        <family val="1"/>
        <charset val="204"/>
      </rPr>
      <t xml:space="preserve">якості:     </t>
    </r>
    <r>
      <rPr>
        <sz val="10"/>
        <color theme="1"/>
        <rFont val="Times New Roman"/>
        <family val="1"/>
        <charset val="204"/>
      </rPr>
      <t xml:space="preserve">           рівень оновлення спеціалізованого бібліотечного фонду, %</t>
    </r>
  </si>
  <si>
    <r>
      <t xml:space="preserve">ефективності: </t>
    </r>
    <r>
      <rPr>
        <sz val="10"/>
        <color theme="1"/>
        <rFont val="Times New Roman"/>
        <family val="1"/>
        <charset val="204"/>
      </rPr>
      <t xml:space="preserve">       середня вартість проведення одного заходу, тис. грн</t>
    </r>
  </si>
  <si>
    <r>
      <t xml:space="preserve">продукту:      </t>
    </r>
    <r>
      <rPr>
        <sz val="10"/>
        <color theme="1"/>
        <rFont val="Times New Roman"/>
        <family val="1"/>
        <charset val="204"/>
      </rPr>
      <t xml:space="preserve"> кількість закладів професійної (професійно-технічної) освіти, од.</t>
    </r>
  </si>
  <si>
    <r>
      <rPr>
        <b/>
        <sz val="10"/>
        <color theme="1"/>
        <rFont val="Times New Roman"/>
        <family val="1"/>
      </rPr>
      <t xml:space="preserve">ефективності </t>
    </r>
    <r>
      <rPr>
        <sz val="10"/>
        <color theme="1"/>
        <rFont val="Times New Roman"/>
        <family val="1"/>
        <charset val="204"/>
      </rPr>
      <t>:  середні витрати на один заклад, тис.грн</t>
    </r>
  </si>
  <si>
    <r>
      <rPr>
        <b/>
        <sz val="10"/>
        <color theme="1"/>
        <rFont val="Times New Roman"/>
        <family val="1"/>
        <charset val="204"/>
      </rPr>
      <t xml:space="preserve">якості:     </t>
    </r>
    <r>
      <rPr>
        <sz val="10"/>
        <color theme="1"/>
        <rFont val="Times New Roman"/>
        <family val="1"/>
        <charset val="204"/>
      </rPr>
      <t xml:space="preserve">           рівень забезпечення  закладів професійної (професійно-технічної) освіти видатками з резервного фонду,  % </t>
    </r>
  </si>
  <si>
    <r>
      <rPr>
        <b/>
        <sz val="10"/>
        <color theme="1"/>
        <rFont val="Times New Roman"/>
        <family val="1"/>
        <charset val="204"/>
      </rPr>
      <t xml:space="preserve">якості:     </t>
    </r>
    <r>
      <rPr>
        <sz val="10"/>
        <color theme="1"/>
        <rFont val="Times New Roman"/>
        <family val="1"/>
        <charset val="204"/>
      </rPr>
      <t xml:space="preserve">           рівень поповнення бібліотечного фонду закладів вищої  мистецької освіти, у % до потреби</t>
    </r>
  </si>
  <si>
    <r>
      <t xml:space="preserve">продукту:                  </t>
    </r>
    <r>
      <rPr>
        <sz val="10"/>
        <rFont val="Times New Roman"/>
        <family val="1"/>
        <charset val="204"/>
      </rPr>
      <t>кількість закладів фахової передвищої та вищої  освіти, од.</t>
    </r>
  </si>
  <si>
    <r>
      <rPr>
        <b/>
        <sz val="10"/>
        <color theme="1"/>
        <rFont val="Times New Roman"/>
        <family val="1"/>
        <charset val="204"/>
      </rPr>
      <t xml:space="preserve">якості:     </t>
    </r>
    <r>
      <rPr>
        <sz val="10"/>
        <color theme="1"/>
        <rFont val="Times New Roman"/>
        <family val="1"/>
        <charset val="204"/>
      </rPr>
      <t xml:space="preserve">           рівень забезпечення  закладів фахової передвищої та вищої освіти видатками з резервного фонду,  % </t>
    </r>
  </si>
  <si>
    <r>
      <t xml:space="preserve">продукту:            </t>
    </r>
    <r>
      <rPr>
        <sz val="10"/>
        <rFont val="Times New Roman"/>
        <family val="1"/>
        <charset val="204"/>
      </rPr>
      <t>кількість слухачів/слухачок які підвищили  кваліфікацію та перепідготовку кадрів,  осіб,  з них:</t>
    </r>
  </si>
  <si>
    <t>Департамент освіти і науки виконавчого органу Київської міської ради (Київської міської державної  адміністрації), Департамент культури виконавчого органу Київської міської ради (Київської міської державної  адміністрації), Київський фаховий медичний коледж  ім. П.І.Гаврося, Київський університет імені Бориса Грінченка, Київський регіональний центр підвищення кваліфікації</t>
  </si>
  <si>
    <r>
      <rPr>
        <b/>
        <sz val="10"/>
        <rFont val="Times New Roman"/>
        <family val="1"/>
        <charset val="204"/>
      </rPr>
      <t xml:space="preserve">якості:     </t>
    </r>
    <r>
      <rPr>
        <sz val="10"/>
        <rFont val="Times New Roman"/>
        <family val="1"/>
        <charset val="204"/>
      </rPr>
      <t xml:space="preserve">           рівень оснащених сучасними засобами навчання закладів освіти, у % до потреби</t>
    </r>
  </si>
  <si>
    <r>
      <t xml:space="preserve">продукту: </t>
    </r>
    <r>
      <rPr>
        <sz val="10"/>
        <rFont val="Times New Roman"/>
        <family val="1"/>
        <charset val="204"/>
      </rPr>
      <t>кількість закладів освіти, забезпечених STEM та STEAM-обладнанням, од.</t>
    </r>
  </si>
  <si>
    <r>
      <rPr>
        <b/>
        <sz val="10"/>
        <rFont val="Times New Roman"/>
        <family val="1"/>
        <charset val="204"/>
      </rPr>
      <t xml:space="preserve">якості:     </t>
    </r>
    <r>
      <rPr>
        <sz val="10"/>
        <rFont val="Times New Roman"/>
        <family val="1"/>
        <charset val="204"/>
      </rPr>
      <t xml:space="preserve">           динаміка кількості  закладів, забезпечених  STEM та STEAM-обладнанням,  у % до базового* року</t>
    </r>
  </si>
  <si>
    <r>
      <t xml:space="preserve">ефективності: </t>
    </r>
    <r>
      <rPr>
        <sz val="10"/>
        <color theme="1"/>
        <rFont val="Times New Roman"/>
        <family val="1"/>
        <charset val="204"/>
      </rPr>
      <t>середні витрати на розробку та реалізацію одного проєкту, тис. грн</t>
    </r>
  </si>
  <si>
    <r>
      <rPr>
        <b/>
        <sz val="10"/>
        <color theme="1"/>
        <rFont val="Times New Roman"/>
        <family val="1"/>
        <charset val="204"/>
      </rPr>
      <t xml:space="preserve">якості:     </t>
    </r>
    <r>
      <rPr>
        <sz val="10"/>
        <color theme="1"/>
        <rFont val="Times New Roman"/>
        <family val="1"/>
        <charset val="204"/>
      </rPr>
      <t xml:space="preserve">           рівень розробки проєктів %</t>
    </r>
  </si>
  <si>
    <r>
      <t xml:space="preserve">5.1.5. </t>
    </r>
    <r>
      <rPr>
        <sz val="10"/>
        <rFont val="Times New Roman"/>
        <family val="1"/>
        <charset val="204"/>
      </rPr>
      <t xml:space="preserve">Організація  навчання із  забезпечення підготовки операторів/операторок БПЛА </t>
    </r>
  </si>
  <si>
    <t xml:space="preserve">5.1.6. Розробка освітнього ресурсу «ВІРТУАЛЬНА МЕТОДИЧКА ДЛЯ ВЧИТЕЛЯ/  ВИХОВАТЕЛЯ » </t>
  </si>
  <si>
    <r>
      <t xml:space="preserve">якості: </t>
    </r>
    <r>
      <rPr>
        <sz val="10"/>
        <color rgb="FF000000"/>
        <rFont val="Times New Roman"/>
        <family val="1"/>
        <charset val="204"/>
      </rPr>
      <t>рівень розробки освітнього  ресурсу, %</t>
    </r>
  </si>
  <si>
    <r>
      <t xml:space="preserve">витрат: </t>
    </r>
    <r>
      <rPr>
        <sz val="10"/>
        <color rgb="FF000000"/>
        <rFont val="Times New Roman"/>
        <family val="1"/>
        <charset val="204"/>
      </rPr>
      <t>обсяг видатків, тис. грн</t>
    </r>
  </si>
  <si>
    <r>
      <t xml:space="preserve">якості: </t>
    </r>
    <r>
      <rPr>
        <sz val="10"/>
        <color rgb="FF000000"/>
        <rFont val="Times New Roman"/>
        <family val="1"/>
        <charset val="204"/>
      </rPr>
      <t>рівень створення та підтримки освітньої платформи, %</t>
    </r>
  </si>
  <si>
    <t xml:space="preserve">5.1.8. Вдосконалення освітньої діяльності шляхом розвитку  спроможності КНП «ОСВІТНЯ АГЕНЦІЯ МІСТА КИЄВА» </t>
  </si>
  <si>
    <r>
      <t xml:space="preserve">якості: </t>
    </r>
    <r>
      <rPr>
        <sz val="10"/>
        <color rgb="FF000000"/>
        <rFont val="Times New Roman"/>
        <family val="1"/>
        <charset val="204"/>
      </rPr>
      <t>рівень фінансової спроможності закладу, %</t>
    </r>
  </si>
  <si>
    <r>
      <t xml:space="preserve">витрат:  </t>
    </r>
    <r>
      <rPr>
        <sz val="10"/>
        <color rgb="FF000000"/>
        <rFont val="Times New Roman"/>
        <family val="1"/>
        <charset val="204"/>
      </rPr>
      <t>обсяг видатків, тис. грн</t>
    </r>
  </si>
  <si>
    <r>
      <t xml:space="preserve">якості:  </t>
    </r>
    <r>
      <rPr>
        <sz val="10"/>
        <color rgb="FF000000"/>
        <rFont val="Times New Roman"/>
        <family val="1"/>
        <charset val="204"/>
      </rPr>
      <t>рівень забезпечення номінантів призовими місцями, %</t>
    </r>
  </si>
  <si>
    <r>
      <rPr>
        <b/>
        <sz val="10"/>
        <color theme="1"/>
        <rFont val="Times New Roman"/>
        <family val="1"/>
        <charset val="204"/>
      </rPr>
      <t xml:space="preserve">якості:     </t>
    </r>
    <r>
      <rPr>
        <sz val="10"/>
        <color theme="1"/>
        <rFont val="Times New Roman"/>
        <family val="1"/>
        <charset val="204"/>
      </rPr>
      <t xml:space="preserve">           рівень забезпечення відмінників відзнакою "Відмінник столичної освіти", %</t>
    </r>
  </si>
  <si>
    <r>
      <rPr>
        <b/>
        <sz val="10"/>
        <rFont val="Times New Roman"/>
        <family val="1"/>
        <charset val="204"/>
      </rPr>
      <t xml:space="preserve">якості:     </t>
    </r>
    <r>
      <rPr>
        <sz val="10"/>
        <rFont val="Times New Roman"/>
        <family val="1"/>
        <charset val="204"/>
      </rPr>
      <t xml:space="preserve">           рівень виконання робіт зі створення безпечного освітнього простору у  закладах професійної (професійно-технічної) освіти,   фахової передвищої та вищої освіти,  %</t>
    </r>
  </si>
  <si>
    <r>
      <t>якості:</t>
    </r>
    <r>
      <rPr>
        <sz val="10"/>
        <rFont val="Times New Roman"/>
        <family val="1"/>
        <charset val="204"/>
      </rPr>
      <t xml:space="preserve">  рівень забезпечення будівель  ЗДО  обладнанням для харчоблоків та пральних кімнат, %</t>
    </r>
  </si>
  <si>
    <r>
      <rPr>
        <b/>
        <sz val="10"/>
        <rFont val="Times New Roman"/>
        <family val="1"/>
        <charset val="204"/>
      </rPr>
      <t xml:space="preserve">якості:     </t>
    </r>
    <r>
      <rPr>
        <sz val="10"/>
        <rFont val="Times New Roman"/>
        <family val="1"/>
        <charset val="204"/>
      </rPr>
      <t xml:space="preserve">           динаміка кількості придбаних комплектів книг художньої літератури у % до базового* року</t>
    </r>
  </si>
  <si>
    <r>
      <t xml:space="preserve">якості:  </t>
    </r>
    <r>
      <rPr>
        <sz val="10"/>
        <color rgb="FF000000"/>
        <rFont val="Times New Roman"/>
        <family val="1"/>
        <charset val="204"/>
      </rPr>
      <t>рівень виконання заходу, %</t>
    </r>
  </si>
  <si>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Департамент культури виконавчого органу Київської міської ради (Київської міської державної  адміністрації), КП "Житлоінвест-УКБ"</t>
  </si>
  <si>
    <t>Всього : за  напрямом Повна загальна середня освіта</t>
  </si>
  <si>
    <r>
      <rPr>
        <b/>
        <sz val="10"/>
        <rFont val="Times New Roman"/>
        <family val="1"/>
        <charset val="204"/>
      </rPr>
      <t>продукту:</t>
    </r>
    <r>
      <rPr>
        <sz val="10"/>
        <rFont val="Times New Roman"/>
        <family val="1"/>
        <charset val="204"/>
      </rPr>
      <t xml:space="preserve"> кількість закупленого обладнання для харчоблоків та пральних кімнат, од.</t>
    </r>
  </si>
  <si>
    <r>
      <rPr>
        <b/>
        <sz val="10"/>
        <color theme="1"/>
        <rFont val="Times New Roman"/>
        <family val="1"/>
        <charset val="204"/>
      </rPr>
      <t>продукту:</t>
    </r>
    <r>
      <rPr>
        <sz val="10"/>
        <color theme="1"/>
        <rFont val="Times New Roman"/>
        <family val="1"/>
        <charset val="204"/>
      </rPr>
      <t xml:space="preserve"> кількість придбаних комплектів книг художньої літератури, од.</t>
    </r>
  </si>
  <si>
    <r>
      <rPr>
        <b/>
        <sz val="10"/>
        <rFont val="Times New Roman"/>
        <family val="1"/>
        <charset val="204"/>
      </rPr>
      <t>продукту:</t>
    </r>
    <r>
      <rPr>
        <sz val="10"/>
        <rFont val="Times New Roman"/>
        <family val="1"/>
        <charset val="204"/>
      </rPr>
      <t xml:space="preserve"> кількість охоплених дітей, осіб</t>
    </r>
  </si>
  <si>
    <r>
      <rPr>
        <b/>
        <sz val="10"/>
        <rFont val="Times New Roman"/>
        <family val="1"/>
        <charset val="204"/>
      </rPr>
      <t>продукту:</t>
    </r>
    <r>
      <rPr>
        <sz val="10"/>
        <rFont val="Times New Roman"/>
        <family val="1"/>
        <charset val="204"/>
      </rPr>
      <t xml:space="preserve"> кількість залучених вихованців, осіб, з них:</t>
    </r>
  </si>
  <si>
    <r>
      <rPr>
        <b/>
        <sz val="10"/>
        <color theme="1"/>
        <rFont val="Times New Roman"/>
        <family val="1"/>
        <charset val="204"/>
      </rPr>
      <t xml:space="preserve">продукту: </t>
    </r>
    <r>
      <rPr>
        <sz val="10"/>
        <color theme="1"/>
        <rFont val="Times New Roman"/>
        <family val="1"/>
        <charset val="204"/>
      </rPr>
      <t xml:space="preserve">  кількість реалізованих проєктів, од.</t>
    </r>
  </si>
  <si>
    <r>
      <rPr>
        <b/>
        <sz val="10"/>
        <color theme="1"/>
        <rFont val="Times New Roman"/>
        <family val="1"/>
        <charset val="204"/>
      </rPr>
      <t xml:space="preserve">якості: </t>
    </r>
    <r>
      <rPr>
        <sz val="10"/>
        <color theme="1"/>
        <rFont val="Times New Roman"/>
        <family val="1"/>
        <charset val="204"/>
      </rPr>
      <t xml:space="preserve"> рівень впровадження проєкту, %</t>
    </r>
  </si>
  <si>
    <r>
      <rPr>
        <b/>
        <sz val="10"/>
        <color theme="1"/>
        <rFont val="Times New Roman"/>
        <family val="1"/>
        <charset val="204"/>
      </rPr>
      <t xml:space="preserve">продукту: </t>
    </r>
    <r>
      <rPr>
        <sz val="10"/>
        <color theme="1"/>
        <rFont val="Times New Roman"/>
        <family val="1"/>
        <charset val="204"/>
      </rPr>
      <t xml:space="preserve">  кількість  учасників/учасниць заходів, осіб, з них:</t>
    </r>
  </si>
  <si>
    <r>
      <rPr>
        <b/>
        <sz val="10"/>
        <rFont val="Times New Roman"/>
        <family val="1"/>
        <charset val="204"/>
      </rPr>
      <t>продукту:</t>
    </r>
    <r>
      <rPr>
        <sz val="10"/>
        <rFont val="Times New Roman"/>
        <family val="1"/>
        <charset val="204"/>
      </rPr>
      <t xml:space="preserve">   кількість медичних сестер/братів, які підвищили кваліфікацію, осіб</t>
    </r>
  </si>
  <si>
    <r>
      <t xml:space="preserve">продукту:                             </t>
    </r>
    <r>
      <rPr>
        <sz val="10"/>
        <rFont val="Times New Roman"/>
        <family val="1"/>
        <charset val="204"/>
      </rPr>
      <t>кількість створеного відеоконтенту, од.</t>
    </r>
  </si>
  <si>
    <r>
      <rPr>
        <b/>
        <sz val="10"/>
        <rFont val="Times New Roman"/>
        <family val="1"/>
        <charset val="204"/>
      </rPr>
      <t>продукту:</t>
    </r>
    <r>
      <rPr>
        <sz val="10"/>
        <rFont val="Times New Roman"/>
        <family val="1"/>
        <charset val="204"/>
      </rPr>
      <t xml:space="preserve">  кількість створених віар-оболонок віртуальної  музейної зали, од.</t>
    </r>
  </si>
  <si>
    <r>
      <rPr>
        <b/>
        <sz val="10"/>
        <color theme="1"/>
        <rFont val="Times New Roman"/>
        <family val="1"/>
        <charset val="204"/>
      </rPr>
      <t>якості:</t>
    </r>
    <r>
      <rPr>
        <sz val="10"/>
        <color theme="1"/>
        <rFont val="Times New Roman"/>
        <family val="1"/>
        <charset val="204"/>
      </rPr>
      <t xml:space="preserve">  рівень реалізації проєктів %</t>
    </r>
  </si>
  <si>
    <r>
      <t>якості:</t>
    </r>
    <r>
      <rPr>
        <sz val="10"/>
        <rFont val="Times New Roman"/>
        <family val="1"/>
        <charset val="204"/>
      </rPr>
      <t xml:space="preserve"> рівень облаштування гендерно-чутливого освітнього та ігрового простору в укриттях, %</t>
    </r>
  </si>
  <si>
    <t xml:space="preserve">2.11.1. Придбання обладнання для служби екстреної психологічної допомоги учасникам/учасницям освітнього процесу та забезпечення її діяльності на базі науково-методичного центру практичної психології та соціальної роботи Інституту післядипломної освіти Київського університету імені Бориса Грінченка </t>
  </si>
  <si>
    <r>
      <t xml:space="preserve">продукту:                         </t>
    </r>
    <r>
      <rPr>
        <sz val="10"/>
        <rFont val="Times New Roman"/>
        <family val="1"/>
        <charset val="204"/>
      </rPr>
      <t>кількість  учасників/ учасниць освітнього процесу, що отримали психологічну допомогу, осіб</t>
    </r>
  </si>
  <si>
    <r>
      <t xml:space="preserve">ефективності:             </t>
    </r>
    <r>
      <rPr>
        <sz val="10"/>
        <rFont val="Times New Roman"/>
        <family val="1"/>
        <charset val="204"/>
      </rPr>
      <t>середні витрати на облаштування однієї служби, тис.грн</t>
    </r>
  </si>
  <si>
    <r>
      <t xml:space="preserve">ефективності:             </t>
    </r>
    <r>
      <rPr>
        <sz val="10"/>
        <rFont val="Times New Roman"/>
        <family val="1"/>
        <charset val="204"/>
      </rPr>
      <t>середні витрати на одного учасника/учасниці, освітнього процесу, що отримав психологічну допомогу,тис.грн</t>
    </r>
  </si>
  <si>
    <r>
      <rPr>
        <b/>
        <sz val="10"/>
        <color theme="1"/>
        <rFont val="Times New Roman"/>
        <family val="1"/>
        <charset val="204"/>
      </rPr>
      <t xml:space="preserve">якості:     </t>
    </r>
    <r>
      <rPr>
        <sz val="10"/>
        <color theme="1"/>
        <rFont val="Times New Roman"/>
        <family val="1"/>
        <charset val="204"/>
      </rPr>
      <t xml:space="preserve">           рівень забезпечення обладнанням служб екстреної психологічної допомоги учасникам/учасницям освітнього процесу, % до потреби</t>
    </r>
  </si>
  <si>
    <r>
      <t xml:space="preserve">якості:  </t>
    </r>
    <r>
      <rPr>
        <sz val="10"/>
        <rFont val="Times New Roman"/>
        <family val="1"/>
        <charset val="204"/>
      </rPr>
      <t>динаміка кількості учасників/учасниць, освітнього процесу, що отримали психологічну допомогу, у %  до базового* року</t>
    </r>
  </si>
  <si>
    <r>
      <t xml:space="preserve">продукту:                        </t>
    </r>
    <r>
      <rPr>
        <sz val="10"/>
        <rFont val="Times New Roman"/>
        <family val="1"/>
        <charset val="204"/>
      </rPr>
      <t>кількість облаштованих кімнат, од.</t>
    </r>
  </si>
  <si>
    <t>1.4.9 Капітальний ремонт закладу вищої мистецької освіти</t>
  </si>
  <si>
    <t>3.2.1. Проведення творчих публічних заходів за участю солістів та колективів мистецьких шкіл у межах мистецько-просвітницьких, інноваційних та національно-патріотичних проєктів</t>
  </si>
  <si>
    <t>3.3.1. Організація та проведення заходів у рамках проєктів з професійного розвитку педагогічних працівників у межах реалізації методично-освітніх проєктів</t>
  </si>
  <si>
    <r>
      <rPr>
        <b/>
        <sz val="10"/>
        <color theme="1"/>
        <rFont val="Times New Roman"/>
        <family val="1"/>
        <charset val="204"/>
      </rPr>
      <t xml:space="preserve">ефективності: </t>
    </r>
    <r>
      <rPr>
        <sz val="10"/>
        <color theme="1"/>
        <rFont val="Times New Roman"/>
        <family val="1"/>
        <charset val="204"/>
      </rPr>
      <t>cередні витрати на закупівлю одного комплекту книг, тис.грн</t>
    </r>
  </si>
  <si>
    <t>Районні в місті Києві державні адміністрації, Департамент освіти і науки виконавчого органу Київської міської ради (Київської міської державної  адміністрації), Київський університет імені Бориса Грінченка, КНП «ОСВІТНЯ АГЕНЦІЯ МІСТА КИЄВА», Центр професійного розвитку педагогічних працівників м. Києва</t>
  </si>
  <si>
    <t xml:space="preserve">2.11.3.Проведення заходів з психосоціальної підтримки та соціально-емоційного навчання для здобувачів загальної середньої освіти </t>
  </si>
  <si>
    <r>
      <rPr>
        <b/>
        <sz val="10"/>
        <rFont val="Times New Roman"/>
        <family val="1"/>
        <charset val="204"/>
      </rPr>
      <t>ефективності:</t>
    </r>
    <r>
      <rPr>
        <sz val="10"/>
        <rFont val="Times New Roman"/>
        <family val="1"/>
        <charset val="204"/>
      </rPr>
      <t xml:space="preserve"> середні витрати на облаштування приміщення найпростіших укриттів, тис.грн</t>
    </r>
  </si>
  <si>
    <r>
      <rPr>
        <b/>
        <sz val="10"/>
        <rFont val="Times New Roman"/>
        <family val="1"/>
        <charset val="204"/>
      </rPr>
      <t>ефективності:</t>
    </r>
    <r>
      <rPr>
        <sz val="10"/>
        <rFont val="Times New Roman"/>
        <family val="1"/>
        <charset val="204"/>
      </rPr>
      <t xml:space="preserve"> середні витрати на 1 заклад, тис.грн</t>
    </r>
  </si>
  <si>
    <r>
      <t>ефективності:</t>
    </r>
    <r>
      <rPr>
        <sz val="10"/>
        <color theme="1"/>
        <rFont val="Times New Roman"/>
        <family val="1"/>
        <charset val="204"/>
      </rPr>
      <t xml:space="preserve"> </t>
    </r>
    <r>
      <rPr>
        <b/>
        <sz val="10"/>
        <color theme="1"/>
        <rFont val="Times New Roman"/>
        <family val="1"/>
        <charset val="204"/>
      </rPr>
      <t xml:space="preserve">           </t>
    </r>
    <r>
      <rPr>
        <sz val="10"/>
        <color theme="1"/>
        <rFont val="Times New Roman"/>
        <family val="1"/>
        <charset val="204"/>
      </rPr>
      <t>середній розмір витрат на 1 переможця, тис. грн</t>
    </r>
  </si>
  <si>
    <t>Київський міський голова</t>
  </si>
  <si>
    <t>Віталій КЛИЧКО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</si>
</sst>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0"/>
  </numFmts>
  <fonts count="24" x14ac:knownFonts="1">
    <font>
      <sz val="11"/>
      <color theme="1"/>
      <name val="Calibri"/>
      <family val="2"/>
      <charset val="204"/>
      <scheme val="minor"/>
    </font>
    <font>
      <sz val="10"/>
      <color theme="1"/>
      <name val="Times New Roman"/>
      <family val="1"/>
      <charset val="204"/>
    </font>
    <font>
      <sz val="10"/>
      <name val="Times New Roman"/>
      <family val="1"/>
      <charset val="204"/>
    </font>
    <font>
      <sz val="11"/>
      <name val="Calibri"/>
      <family val="2"/>
      <charset val="204"/>
      <scheme val="minor"/>
    </font>
    <font>
      <b/>
      <sz val="14"/>
      <color theme="1"/>
      <name val="Times New Roman"/>
      <family val="1"/>
      <charset val="204"/>
    </font>
    <font>
      <sz val="14"/>
      <name val="Times New Roman"/>
      <family val="1"/>
      <charset val="204"/>
    </font>
    <font>
      <b/>
      <sz val="8"/>
      <color theme="1"/>
      <name val="Times New Roman"/>
      <family val="1"/>
      <charset val="204"/>
    </font>
    <font>
      <b/>
      <sz val="10"/>
      <color rgb="FF000000"/>
      <name val="Times New Roman"/>
      <family val="1"/>
      <charset val="204"/>
    </font>
    <font>
      <sz val="10"/>
      <color rgb="FF000000"/>
      <name val="Times New Roman"/>
      <family val="1"/>
      <charset val="204"/>
    </font>
    <font>
      <b/>
      <sz val="10"/>
      <color theme="1"/>
      <name val="Times New Roman"/>
      <family val="1"/>
      <charset val="204"/>
    </font>
    <font>
      <b/>
      <sz val="10"/>
      <name val="Times New Roman"/>
      <family val="1"/>
      <charset val="204"/>
    </font>
    <font>
      <sz val="11"/>
      <name val="Calibri"/>
      <family val="2"/>
      <charset val="204"/>
    </font>
    <font>
      <sz val="10"/>
      <color theme="5"/>
      <name val="Times New Roman"/>
      <family val="1"/>
      <charset val="204"/>
    </font>
    <font>
      <sz val="10"/>
      <name val="Calibri"/>
      <family val="2"/>
      <charset val="204"/>
      <scheme val="minor"/>
    </font>
    <font>
      <sz val="10"/>
      <color theme="1"/>
      <name val="Calibri"/>
      <family val="2"/>
      <charset val="204"/>
      <scheme val="minor"/>
    </font>
    <font>
      <sz val="10"/>
      <color theme="1"/>
      <name val="Times New Roman"/>
      <family val="1"/>
    </font>
    <font>
      <b/>
      <sz val="10"/>
      <color theme="1"/>
      <name val="Times New Roman"/>
      <family val="1"/>
    </font>
    <font>
      <sz val="10"/>
      <color rgb="FFFF0000"/>
      <name val="Times New Roman"/>
      <family val="1"/>
      <charset val="204"/>
    </font>
    <font>
      <sz val="9"/>
      <color theme="1"/>
      <name val="Times New Roman"/>
      <family val="1"/>
      <charset val="204"/>
    </font>
    <font>
      <sz val="10"/>
      <name val="Times New Roman"/>
      <family val="1"/>
    </font>
    <font>
      <b/>
      <sz val="10"/>
      <name val="Times New Roman"/>
      <family val="1"/>
    </font>
    <font>
      <sz val="11"/>
      <color theme="1"/>
      <name val="Times New Roman"/>
      <family val="1"/>
      <charset val="204"/>
    </font>
    <font>
      <b/>
      <sz val="11"/>
      <color theme="1"/>
      <name val="Calibri"/>
      <family val="2"/>
      <charset val="204"/>
      <scheme val="minor"/>
    </font>
    <font>
      <b/>
      <sz val="11"/>
      <name val="Times New Roman"/>
      <family val="1"/>
      <charset val="204"/>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style="thin">
        <color indexed="64"/>
      </bottom>
      <diagonal/>
    </border>
  </borders>
  <cellStyleXfs count="1">
    <xf numFmtId="0" fontId="0" fillId="0" borderId="0"/>
  </cellStyleXfs>
  <cellXfs count="420">
    <xf numFmtId="0" fontId="0" fillId="0" borderId="0" xfId="0"/>
    <xf numFmtId="0" fontId="8" fillId="0" borderId="7" xfId="0" applyFont="1" applyFill="1" applyBorder="1" applyAlignment="1">
      <alignment horizontal="center" vertical="center" wrapText="1"/>
    </xf>
    <xf numFmtId="0" fontId="8" fillId="0" borderId="8" xfId="0" applyFont="1" applyFill="1" applyBorder="1" applyAlignment="1">
      <alignment vertical="center" wrapText="1"/>
    </xf>
    <xf numFmtId="164" fontId="8" fillId="0" borderId="9" xfId="0" applyNumberFormat="1" applyFont="1" applyFill="1" applyBorder="1" applyAlignment="1">
      <alignment vertical="center" wrapText="1"/>
    </xf>
    <xf numFmtId="0" fontId="9" fillId="0" borderId="1" xfId="0" applyFont="1" applyFill="1" applyBorder="1" applyAlignment="1">
      <alignment vertical="center" wrapText="1"/>
    </xf>
    <xf numFmtId="164" fontId="8" fillId="0" borderId="1" xfId="0" applyNumberFormat="1" applyFont="1" applyFill="1" applyBorder="1" applyAlignment="1">
      <alignment horizontal="right" vertical="center" wrapText="1"/>
    </xf>
    <xf numFmtId="0" fontId="2" fillId="0" borderId="0" xfId="0" applyFont="1" applyFill="1"/>
    <xf numFmtId="3" fontId="8"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164" fontId="8" fillId="0" borderId="9" xfId="0" applyNumberFormat="1" applyFont="1" applyFill="1" applyBorder="1" applyAlignment="1">
      <alignment horizontal="right" vertical="center" wrapText="1"/>
    </xf>
    <xf numFmtId="0" fontId="0" fillId="0" borderId="8" xfId="0" applyFill="1" applyBorder="1" applyAlignment="1">
      <alignment vertical="top" wrapText="1"/>
    </xf>
    <xf numFmtId="164" fontId="1" fillId="0" borderId="9" xfId="0" applyNumberFormat="1" applyFont="1" applyFill="1" applyBorder="1"/>
    <xf numFmtId="4" fontId="7" fillId="0" borderId="1" xfId="0" applyNumberFormat="1" applyFont="1" applyFill="1" applyBorder="1" applyAlignment="1">
      <alignment vertical="top" wrapText="1"/>
    </xf>
    <xf numFmtId="164" fontId="1" fillId="0" borderId="1" xfId="0" applyNumberFormat="1" applyFont="1" applyFill="1" applyBorder="1" applyAlignment="1">
      <alignment vertical="center" wrapText="1"/>
    </xf>
    <xf numFmtId="0" fontId="1" fillId="0" borderId="2" xfId="0" applyFont="1" applyFill="1" applyBorder="1" applyAlignment="1">
      <alignment vertical="top" wrapText="1"/>
    </xf>
    <xf numFmtId="0" fontId="1" fillId="0" borderId="7" xfId="0" applyFont="1" applyFill="1" applyBorder="1" applyAlignment="1">
      <alignment vertical="top" wrapText="1"/>
    </xf>
    <xf numFmtId="0" fontId="8" fillId="0" borderId="2" xfId="0" applyFont="1" applyFill="1" applyBorder="1" applyAlignment="1">
      <alignment vertical="top" wrapText="1"/>
    </xf>
    <xf numFmtId="0" fontId="8" fillId="0" borderId="7" xfId="0" applyFont="1" applyFill="1" applyBorder="1" applyAlignment="1">
      <alignment vertical="top" wrapText="1"/>
    </xf>
    <xf numFmtId="0" fontId="2" fillId="0" borderId="7" xfId="0" applyFont="1" applyFill="1" applyBorder="1" applyAlignment="1">
      <alignment vertical="top" wrapText="1"/>
    </xf>
    <xf numFmtId="0" fontId="1" fillId="0" borderId="0" xfId="0" applyFont="1" applyFill="1" applyAlignment="1">
      <alignment vertical="center"/>
    </xf>
    <xf numFmtId="0" fontId="1" fillId="0" borderId="0" xfId="0" applyFont="1" applyFill="1" applyAlignment="1">
      <alignment horizontal="left" vertical="center"/>
    </xf>
    <xf numFmtId="164" fontId="1" fillId="0" borderId="0" xfId="0" applyNumberFormat="1" applyFont="1" applyFill="1" applyAlignment="1">
      <alignment vertical="center"/>
    </xf>
    <xf numFmtId="164" fontId="1" fillId="0" borderId="0" xfId="0" applyNumberFormat="1" applyFont="1" applyFill="1" applyAlignment="1">
      <alignment horizontal="right" vertical="center"/>
    </xf>
    <xf numFmtId="0" fontId="5" fillId="0" borderId="0" xfId="0" applyFont="1" applyFill="1"/>
    <xf numFmtId="0" fontId="4" fillId="0" borderId="0" xfId="0" applyFont="1" applyFill="1" applyAlignment="1">
      <alignment horizontal="center" vertical="center"/>
    </xf>
    <xf numFmtId="164" fontId="6" fillId="0" borderId="0" xfId="0" applyNumberFormat="1" applyFont="1" applyFill="1" applyAlignment="1">
      <alignment horizontal="center" vertical="center"/>
    </xf>
    <xf numFmtId="0" fontId="2" fillId="0" borderId="0" xfId="0" applyFont="1" applyFill="1" applyAlignment="1">
      <alignment horizontal="center"/>
    </xf>
    <xf numFmtId="0" fontId="7" fillId="0" borderId="1" xfId="0"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3" fontId="7" fillId="0" borderId="1" xfId="0" applyNumberFormat="1" applyFont="1" applyFill="1" applyBorder="1" applyAlignment="1">
      <alignment horizontal="center" vertical="center" wrapText="1"/>
    </xf>
    <xf numFmtId="0" fontId="2" fillId="0" borderId="8" xfId="0" applyFont="1" applyFill="1" applyBorder="1" applyAlignment="1">
      <alignment vertical="center" wrapText="1"/>
    </xf>
    <xf numFmtId="164" fontId="2" fillId="0" borderId="9" xfId="0" applyNumberFormat="1" applyFont="1" applyFill="1" applyBorder="1" applyAlignment="1">
      <alignment vertical="center" wrapText="1"/>
    </xf>
    <xf numFmtId="0" fontId="2" fillId="0" borderId="5" xfId="0" applyFont="1" applyFill="1" applyBorder="1" applyAlignment="1">
      <alignment horizontal="left" vertical="center" wrapText="1"/>
    </xf>
    <xf numFmtId="164" fontId="2" fillId="0" borderId="1" xfId="0" applyNumberFormat="1" applyFont="1" applyFill="1" applyBorder="1" applyAlignment="1">
      <alignment horizontal="right" vertical="center" wrapText="1"/>
    </xf>
    <xf numFmtId="3" fontId="2" fillId="0" borderId="1" xfId="0" applyNumberFormat="1" applyFont="1" applyFill="1" applyBorder="1" applyAlignment="1">
      <alignment horizontal="right" vertical="center" wrapText="1"/>
    </xf>
    <xf numFmtId="0" fontId="2" fillId="0" borderId="3" xfId="0" applyFont="1" applyFill="1" applyBorder="1" applyAlignment="1">
      <alignment vertical="center" wrapText="1"/>
    </xf>
    <xf numFmtId="164" fontId="2" fillId="0" borderId="5" xfId="0" applyNumberFormat="1" applyFont="1" applyFill="1" applyBorder="1" applyAlignment="1">
      <alignment vertical="center" wrapText="1"/>
    </xf>
    <xf numFmtId="0" fontId="2" fillId="0" borderId="5" xfId="0" applyFont="1" applyFill="1" applyBorder="1" applyAlignment="1">
      <alignment horizontal="left" vertical="top" wrapText="1"/>
    </xf>
    <xf numFmtId="0" fontId="8" fillId="0" borderId="10" xfId="0" applyFont="1" applyFill="1" applyBorder="1" applyAlignment="1">
      <alignment vertical="top" wrapText="1"/>
    </xf>
    <xf numFmtId="0" fontId="2" fillId="0" borderId="10" xfId="0" applyFont="1" applyFill="1" applyBorder="1" applyAlignment="1">
      <alignment vertical="top" wrapText="1"/>
    </xf>
    <xf numFmtId="0" fontId="1" fillId="0" borderId="5" xfId="0" applyFont="1" applyFill="1" applyBorder="1" applyAlignment="1">
      <alignment horizontal="left" vertical="center" wrapText="1"/>
    </xf>
    <xf numFmtId="0" fontId="1" fillId="0" borderId="9" xfId="0" applyFont="1" applyFill="1" applyBorder="1" applyAlignment="1">
      <alignment horizontal="left" vertical="center" wrapText="1"/>
    </xf>
    <xf numFmtId="0" fontId="2" fillId="0" borderId="11" xfId="0" applyFont="1" applyFill="1" applyBorder="1" applyAlignment="1">
      <alignment vertical="center" wrapText="1"/>
    </xf>
    <xf numFmtId="0" fontId="2" fillId="0" borderId="1" xfId="0" applyFont="1" applyFill="1" applyBorder="1" applyAlignment="1">
      <alignment horizontal="left" vertical="center" wrapText="1"/>
    </xf>
    <xf numFmtId="0" fontId="2" fillId="0" borderId="12" xfId="0" applyFont="1" applyFill="1" applyBorder="1" applyAlignment="1">
      <alignment vertical="top" wrapText="1"/>
    </xf>
    <xf numFmtId="0" fontId="2" fillId="0" borderId="6" xfId="0" applyFont="1" applyFill="1" applyBorder="1" applyAlignment="1">
      <alignment vertical="top" wrapText="1"/>
    </xf>
    <xf numFmtId="0" fontId="2" fillId="0" borderId="4" xfId="0" applyFont="1" applyFill="1" applyBorder="1" applyAlignment="1">
      <alignment vertical="center" wrapText="1"/>
    </xf>
    <xf numFmtId="0" fontId="2" fillId="0" borderId="9" xfId="0" applyFont="1" applyFill="1" applyBorder="1" applyAlignment="1">
      <alignment horizontal="left" vertical="center" wrapText="1"/>
    </xf>
    <xf numFmtId="164" fontId="1" fillId="0" borderId="1" xfId="0" applyNumberFormat="1" applyFont="1" applyFill="1" applyBorder="1" applyAlignment="1">
      <alignment horizontal="right" vertical="center" wrapText="1"/>
    </xf>
    <xf numFmtId="0" fontId="15" fillId="0" borderId="1" xfId="0" applyFont="1" applyFill="1" applyBorder="1" applyAlignment="1">
      <alignment vertical="center" wrapText="1"/>
    </xf>
    <xf numFmtId="0" fontId="0" fillId="0" borderId="3" xfId="0" applyFill="1" applyBorder="1" applyAlignment="1">
      <alignment vertical="top" wrapText="1"/>
    </xf>
    <xf numFmtId="164" fontId="1" fillId="0" borderId="5" xfId="0" applyNumberFormat="1" applyFont="1" applyFill="1" applyBorder="1"/>
    <xf numFmtId="0" fontId="2" fillId="0" borderId="1" xfId="0" applyFont="1" applyFill="1" applyBorder="1" applyAlignment="1">
      <alignment vertical="center" wrapText="1"/>
    </xf>
    <xf numFmtId="3" fontId="1" fillId="0" borderId="1" xfId="0" applyNumberFormat="1" applyFont="1" applyFill="1" applyBorder="1" applyAlignment="1">
      <alignment vertical="center" wrapText="1"/>
    </xf>
    <xf numFmtId="0" fontId="1" fillId="0" borderId="6" xfId="0" applyFont="1" applyFill="1" applyBorder="1" applyAlignment="1">
      <alignment horizontal="left" vertical="top" wrapText="1"/>
    </xf>
    <xf numFmtId="0" fontId="1" fillId="0" borderId="1" xfId="0" applyFont="1" applyFill="1" applyBorder="1" applyAlignment="1">
      <alignment vertical="center" wrapText="1"/>
    </xf>
    <xf numFmtId="0" fontId="12" fillId="0" borderId="7" xfId="0" applyFont="1" applyFill="1" applyBorder="1" applyAlignment="1">
      <alignment vertical="top" wrapText="1"/>
    </xf>
    <xf numFmtId="0" fontId="8" fillId="0" borderId="5" xfId="0" applyFont="1" applyFill="1" applyBorder="1" applyAlignment="1">
      <alignment horizontal="left" vertical="center" wrapText="1"/>
    </xf>
    <xf numFmtId="0" fontId="8" fillId="0" borderId="9" xfId="0" applyFont="1" applyFill="1" applyBorder="1" applyAlignment="1">
      <alignment horizontal="left" vertical="center" wrapText="1"/>
    </xf>
    <xf numFmtId="0" fontId="10" fillId="0" borderId="8" xfId="0" applyFont="1" applyFill="1" applyBorder="1" applyAlignment="1">
      <alignment vertical="center" wrapText="1"/>
    </xf>
    <xf numFmtId="164" fontId="10" fillId="0" borderId="9" xfId="0" applyNumberFormat="1" applyFont="1" applyFill="1" applyBorder="1" applyAlignment="1">
      <alignment vertical="center" wrapText="1"/>
    </xf>
    <xf numFmtId="0" fontId="10" fillId="0" borderId="3" xfId="0" applyFont="1" applyFill="1" applyBorder="1" applyAlignment="1">
      <alignment vertical="center" wrapText="1"/>
    </xf>
    <xf numFmtId="164" fontId="10" fillId="0" borderId="5" xfId="0" applyNumberFormat="1" applyFont="1" applyFill="1" applyBorder="1" applyAlignment="1">
      <alignment vertical="center" wrapText="1"/>
    </xf>
    <xf numFmtId="0" fontId="8" fillId="0" borderId="0" xfId="0" applyFont="1" applyFill="1" applyBorder="1" applyAlignment="1">
      <alignment vertical="top" wrapText="1"/>
    </xf>
    <xf numFmtId="0" fontId="10" fillId="0" borderId="0" xfId="0" applyFont="1" applyFill="1" applyBorder="1" applyAlignment="1">
      <alignment horizontal="right" vertical="center" wrapText="1"/>
    </xf>
    <xf numFmtId="0" fontId="1" fillId="0" borderId="8" xfId="0" applyFont="1" applyFill="1" applyBorder="1" applyAlignment="1">
      <alignment wrapText="1"/>
    </xf>
    <xf numFmtId="0" fontId="2" fillId="0" borderId="0" xfId="0" applyFont="1" applyFill="1" applyBorder="1" applyAlignment="1">
      <alignment horizontal="center" vertical="center" wrapText="1"/>
    </xf>
    <xf numFmtId="0" fontId="8" fillId="0" borderId="3" xfId="0" applyFont="1" applyFill="1" applyBorder="1" applyAlignment="1">
      <alignment vertical="center" wrapText="1"/>
    </xf>
    <xf numFmtId="164" fontId="1" fillId="0" borderId="5" xfId="0" applyNumberFormat="1" applyFont="1" applyFill="1" applyBorder="1" applyAlignment="1">
      <alignment vertical="center" wrapText="1"/>
    </xf>
    <xf numFmtId="0" fontId="10" fillId="0" borderId="1" xfId="0" applyFont="1" applyFill="1" applyBorder="1" applyAlignment="1">
      <alignment vertical="center" wrapText="1"/>
    </xf>
    <xf numFmtId="0" fontId="1" fillId="0" borderId="7" xfId="0" applyFont="1" applyFill="1" applyBorder="1" applyAlignment="1">
      <alignment horizontal="center"/>
    </xf>
    <xf numFmtId="0" fontId="0" fillId="0" borderId="7" xfId="0" applyFill="1" applyBorder="1" applyAlignment="1">
      <alignment vertical="top" wrapText="1"/>
    </xf>
    <xf numFmtId="0" fontId="2" fillId="0" borderId="5" xfId="0" applyFont="1" applyFill="1" applyBorder="1" applyAlignment="1">
      <alignment vertical="center" wrapText="1"/>
    </xf>
    <xf numFmtId="0" fontId="0" fillId="0" borderId="6" xfId="0" applyFill="1" applyBorder="1" applyAlignment="1">
      <alignment vertical="top" wrapText="1"/>
    </xf>
    <xf numFmtId="0" fontId="2" fillId="0" borderId="12" xfId="0" applyFont="1" applyFill="1" applyBorder="1" applyAlignment="1">
      <alignment vertical="center"/>
    </xf>
    <xf numFmtId="164" fontId="2" fillId="0" borderId="14" xfId="0" applyNumberFormat="1" applyFont="1" applyFill="1" applyBorder="1" applyAlignment="1">
      <alignment vertical="center"/>
    </xf>
    <xf numFmtId="0" fontId="10" fillId="0" borderId="5" xfId="0" applyFont="1" applyFill="1" applyBorder="1" applyAlignment="1">
      <alignment vertical="center" wrapText="1"/>
    </xf>
    <xf numFmtId="164" fontId="2" fillId="0" borderId="1" xfId="0" applyNumberFormat="1" applyFont="1" applyFill="1" applyBorder="1" applyAlignment="1">
      <alignment vertical="center" wrapText="1"/>
    </xf>
    <xf numFmtId="0" fontId="2" fillId="0" borderId="0" xfId="0" applyFont="1" applyFill="1" applyAlignment="1">
      <alignment vertical="center"/>
    </xf>
    <xf numFmtId="164" fontId="2" fillId="0" borderId="0" xfId="0" applyNumberFormat="1" applyFont="1" applyFill="1" applyAlignment="1">
      <alignment vertical="center"/>
    </xf>
    <xf numFmtId="0" fontId="1" fillId="0" borderId="15" xfId="0" applyFont="1" applyFill="1" applyBorder="1" applyAlignment="1">
      <alignment horizontal="center"/>
    </xf>
    <xf numFmtId="0" fontId="18" fillId="0" borderId="15" xfId="0" applyFont="1" applyFill="1" applyBorder="1" applyAlignment="1">
      <alignment vertical="top" wrapText="1"/>
    </xf>
    <xf numFmtId="0" fontId="7" fillId="0" borderId="8" xfId="0" applyFont="1" applyFill="1" applyBorder="1" applyAlignment="1">
      <alignment vertical="center" wrapText="1"/>
    </xf>
    <xf numFmtId="164" fontId="7" fillId="0" borderId="9" xfId="0" applyNumberFormat="1" applyFont="1" applyFill="1" applyBorder="1" applyAlignment="1">
      <alignment vertical="center" wrapText="1"/>
    </xf>
    <xf numFmtId="0" fontId="0" fillId="0" borderId="11" xfId="0" applyFill="1" applyBorder="1" applyAlignment="1"/>
    <xf numFmtId="0" fontId="0" fillId="0" borderId="15" xfId="0" applyFill="1" applyBorder="1" applyAlignment="1"/>
    <xf numFmtId="0" fontId="7" fillId="0" borderId="3" xfId="0" applyFont="1" applyFill="1" applyBorder="1" applyAlignment="1">
      <alignment vertical="center" wrapText="1"/>
    </xf>
    <xf numFmtId="164" fontId="9" fillId="0" borderId="5" xfId="0" applyNumberFormat="1" applyFont="1" applyFill="1" applyBorder="1" applyAlignment="1">
      <alignment vertical="center" wrapText="1"/>
    </xf>
    <xf numFmtId="0" fontId="0" fillId="0" borderId="0" xfId="0" applyFill="1" applyAlignment="1"/>
    <xf numFmtId="0" fontId="1" fillId="0" borderId="14" xfId="0" applyFont="1" applyFill="1" applyBorder="1" applyAlignment="1">
      <alignment horizontal="center"/>
    </xf>
    <xf numFmtId="0" fontId="0" fillId="0" borderId="14" xfId="0" applyFill="1" applyBorder="1" applyAlignment="1"/>
    <xf numFmtId="0" fontId="1" fillId="0" borderId="7" xfId="0" applyFont="1" applyFill="1" applyBorder="1" applyAlignment="1">
      <alignment horizontal="left" vertical="top" wrapText="1"/>
    </xf>
    <xf numFmtId="0" fontId="1" fillId="0" borderId="5" xfId="0" applyFont="1" applyFill="1" applyBorder="1" applyAlignment="1">
      <alignment vertical="center" wrapText="1"/>
    </xf>
    <xf numFmtId="0" fontId="9" fillId="0" borderId="5" xfId="0" applyFont="1" applyFill="1" applyBorder="1" applyAlignment="1">
      <alignment vertical="center" wrapText="1"/>
    </xf>
    <xf numFmtId="0" fontId="1" fillId="0" borderId="8" xfId="0" applyFont="1" applyFill="1" applyBorder="1" applyAlignment="1">
      <alignment vertical="center" wrapText="1"/>
    </xf>
    <xf numFmtId="164" fontId="1" fillId="0" borderId="9" xfId="0" applyNumberFormat="1" applyFont="1" applyFill="1" applyBorder="1" applyAlignment="1">
      <alignment vertical="center" wrapText="1"/>
    </xf>
    <xf numFmtId="166" fontId="1" fillId="0" borderId="1" xfId="0" applyNumberFormat="1" applyFont="1" applyFill="1" applyBorder="1" applyAlignment="1">
      <alignment horizontal="right" vertical="center" wrapText="1"/>
    </xf>
    <xf numFmtId="0" fontId="3" fillId="0" borderId="7" xfId="0" applyFont="1" applyFill="1" applyBorder="1" applyAlignment="1">
      <alignment vertical="top" wrapText="1"/>
    </xf>
    <xf numFmtId="0" fontId="17" fillId="0" borderId="7" xfId="0" applyFont="1" applyFill="1" applyBorder="1" applyAlignment="1">
      <alignment vertical="top" wrapText="1"/>
    </xf>
    <xf numFmtId="0" fontId="1" fillId="0" borderId="0" xfId="0" applyFont="1" applyFill="1"/>
    <xf numFmtId="0" fontId="2" fillId="0" borderId="2" xfId="0" applyFont="1" applyFill="1" applyBorder="1" applyAlignment="1">
      <alignment vertical="center" wrapText="1"/>
    </xf>
    <xf numFmtId="164" fontId="1" fillId="0" borderId="2" xfId="0" applyNumberFormat="1" applyFont="1" applyFill="1" applyBorder="1" applyAlignment="1">
      <alignment horizontal="right" vertical="center" wrapText="1"/>
    </xf>
    <xf numFmtId="0" fontId="1" fillId="0" borderId="1" xfId="0" applyFont="1" applyFill="1" applyBorder="1" applyAlignment="1">
      <alignment vertical="top" wrapText="1"/>
    </xf>
    <xf numFmtId="164" fontId="1" fillId="0" borderId="1" xfId="0" applyNumberFormat="1" applyFont="1" applyFill="1" applyBorder="1" applyAlignment="1">
      <alignment horizontal="right" vertical="top" wrapText="1"/>
    </xf>
    <xf numFmtId="0" fontId="18" fillId="0" borderId="9" xfId="0" applyFont="1" applyFill="1" applyBorder="1" applyAlignment="1">
      <alignment vertical="top" wrapText="1"/>
    </xf>
    <xf numFmtId="164" fontId="7" fillId="0" borderId="11" xfId="0" applyNumberFormat="1" applyFont="1" applyFill="1" applyBorder="1" applyAlignment="1">
      <alignment vertical="center" wrapText="1"/>
    </xf>
    <xf numFmtId="164" fontId="7" fillId="0" borderId="8" xfId="0" applyNumberFormat="1" applyFont="1" applyFill="1" applyBorder="1" applyAlignment="1">
      <alignment vertical="center" wrapText="1"/>
    </xf>
    <xf numFmtId="164" fontId="2" fillId="0" borderId="11" xfId="0" applyNumberFormat="1" applyFont="1" applyFill="1" applyBorder="1" applyAlignment="1">
      <alignment vertical="center" wrapText="1"/>
    </xf>
    <xf numFmtId="164" fontId="2" fillId="0" borderId="11" xfId="0" applyNumberFormat="1" applyFont="1" applyFill="1" applyBorder="1" applyAlignment="1">
      <alignment horizontal="right" vertical="center" wrapText="1"/>
    </xf>
    <xf numFmtId="164" fontId="9" fillId="0" borderId="4" xfId="0" applyNumberFormat="1" applyFont="1" applyFill="1" applyBorder="1" applyAlignment="1">
      <alignment vertical="center" wrapText="1"/>
    </xf>
    <xf numFmtId="164" fontId="9" fillId="0" borderId="10" xfId="0" applyNumberFormat="1" applyFont="1" applyFill="1" applyBorder="1" applyAlignment="1">
      <alignment vertical="center" wrapText="1"/>
    </xf>
    <xf numFmtId="164" fontId="2" fillId="0" borderId="0" xfId="0" applyNumberFormat="1" applyFont="1" applyFill="1" applyBorder="1" applyAlignment="1">
      <alignment vertical="center" wrapText="1"/>
    </xf>
    <xf numFmtId="0" fontId="2" fillId="0" borderId="0" xfId="0" applyFont="1" applyFill="1" applyBorder="1" applyAlignment="1">
      <alignment vertical="center" wrapText="1"/>
    </xf>
    <xf numFmtId="164" fontId="2" fillId="0" borderId="0" xfId="0" applyNumberFormat="1" applyFont="1" applyFill="1" applyBorder="1" applyAlignment="1">
      <alignment horizontal="right" vertical="center" wrapText="1"/>
    </xf>
    <xf numFmtId="164" fontId="9" fillId="0" borderId="12" xfId="0" applyNumberFormat="1" applyFont="1" applyFill="1" applyBorder="1" applyAlignment="1">
      <alignment vertical="center" wrapText="1"/>
    </xf>
    <xf numFmtId="164" fontId="2" fillId="0" borderId="13" xfId="0" applyNumberFormat="1" applyFont="1" applyFill="1" applyBorder="1" applyAlignment="1">
      <alignment vertical="center" wrapText="1"/>
    </xf>
    <xf numFmtId="0" fontId="2" fillId="0" borderId="13" xfId="0" applyFont="1" applyFill="1" applyBorder="1" applyAlignment="1">
      <alignment vertical="center" wrapText="1"/>
    </xf>
    <xf numFmtId="164" fontId="2" fillId="0" borderId="13" xfId="0" applyNumberFormat="1" applyFont="1" applyFill="1" applyBorder="1" applyAlignment="1">
      <alignment horizontal="right" vertical="center" wrapText="1"/>
    </xf>
    <xf numFmtId="0" fontId="2" fillId="0" borderId="1" xfId="0" applyFont="1" applyFill="1" applyBorder="1" applyAlignment="1">
      <alignment horizontal="justify" vertical="center" wrapText="1"/>
    </xf>
    <xf numFmtId="0" fontId="0" fillId="0" borderId="7" xfId="0" applyFont="1" applyFill="1" applyBorder="1" applyAlignment="1">
      <alignment wrapText="1"/>
    </xf>
    <xf numFmtId="164" fontId="2" fillId="0" borderId="9" xfId="0" applyNumberFormat="1" applyFont="1" applyFill="1" applyBorder="1" applyAlignment="1">
      <alignment horizontal="right" vertical="center" wrapText="1"/>
    </xf>
    <xf numFmtId="165" fontId="1" fillId="0" borderId="1" xfId="0" applyNumberFormat="1" applyFont="1" applyFill="1" applyBorder="1" applyAlignment="1">
      <alignment horizontal="right" vertical="center" wrapText="1"/>
    </xf>
    <xf numFmtId="0" fontId="1" fillId="0" borderId="2" xfId="0" applyFont="1" applyFill="1" applyBorder="1" applyAlignment="1">
      <alignment vertical="center" wrapText="1"/>
    </xf>
    <xf numFmtId="0" fontId="1" fillId="0" borderId="11" xfId="0" applyFont="1" applyFill="1" applyBorder="1" applyAlignment="1">
      <alignment vertical="center" wrapText="1"/>
    </xf>
    <xf numFmtId="164" fontId="1" fillId="0" borderId="11" xfId="0" applyNumberFormat="1" applyFont="1" applyFill="1" applyBorder="1" applyAlignment="1">
      <alignment vertical="center" wrapText="1"/>
    </xf>
    <xf numFmtId="164" fontId="1" fillId="0" borderId="11" xfId="0" applyNumberFormat="1" applyFont="1" applyFill="1" applyBorder="1" applyAlignment="1">
      <alignment horizontal="right" vertical="center" wrapText="1"/>
    </xf>
    <xf numFmtId="0" fontId="1" fillId="0" borderId="0" xfId="0" applyFont="1" applyFill="1" applyBorder="1" applyAlignment="1">
      <alignment vertical="center" wrapText="1"/>
    </xf>
    <xf numFmtId="164" fontId="1" fillId="0" borderId="0" xfId="0" applyNumberFormat="1" applyFont="1" applyFill="1" applyBorder="1" applyAlignment="1">
      <alignment vertical="center" wrapText="1"/>
    </xf>
    <xf numFmtId="164" fontId="1" fillId="0" borderId="0" xfId="0" applyNumberFormat="1" applyFont="1" applyFill="1" applyBorder="1" applyAlignment="1">
      <alignment horizontal="right" vertical="center" wrapText="1"/>
    </xf>
    <xf numFmtId="0" fontId="8" fillId="0" borderId="6" xfId="0" applyFont="1" applyFill="1" applyBorder="1" applyAlignment="1">
      <alignment vertical="top" wrapText="1"/>
    </xf>
    <xf numFmtId="0" fontId="1" fillId="0" borderId="3" xfId="0" applyFont="1" applyFill="1" applyBorder="1" applyAlignment="1">
      <alignment vertical="center" wrapText="1"/>
    </xf>
    <xf numFmtId="0" fontId="8" fillId="0" borderId="11" xfId="0" applyFont="1" applyFill="1" applyBorder="1" applyAlignment="1">
      <alignment vertical="center" wrapText="1"/>
    </xf>
    <xf numFmtId="0" fontId="2" fillId="0" borderId="1" xfId="0" applyFont="1" applyFill="1" applyBorder="1" applyAlignment="1">
      <alignment wrapText="1"/>
    </xf>
    <xf numFmtId="3" fontId="2" fillId="0" borderId="1" xfId="0" applyNumberFormat="1" applyFont="1" applyFill="1" applyBorder="1"/>
    <xf numFmtId="3" fontId="2" fillId="0" borderId="0" xfId="0" applyNumberFormat="1" applyFont="1" applyFill="1"/>
    <xf numFmtId="0" fontId="8" fillId="0" borderId="0" xfId="0" applyFont="1" applyFill="1" applyBorder="1" applyAlignment="1">
      <alignment vertical="center" wrapText="1"/>
    </xf>
    <xf numFmtId="164" fontId="8" fillId="0" borderId="15" xfId="0" applyNumberFormat="1" applyFont="1" applyFill="1" applyBorder="1" applyAlignment="1">
      <alignment horizontal="right" vertical="center" wrapText="1"/>
    </xf>
    <xf numFmtId="0" fontId="2" fillId="0" borderId="0" xfId="0" applyFont="1" applyFill="1" applyBorder="1"/>
    <xf numFmtId="0" fontId="2" fillId="0" borderId="15" xfId="0" applyFont="1" applyFill="1" applyBorder="1"/>
    <xf numFmtId="0" fontId="1" fillId="0" borderId="12" xfId="0" applyFont="1" applyFill="1" applyBorder="1" applyAlignment="1">
      <alignment vertical="center" wrapText="1"/>
    </xf>
    <xf numFmtId="164" fontId="1" fillId="0" borderId="14" xfId="0" applyNumberFormat="1" applyFont="1" applyFill="1" applyBorder="1" applyAlignment="1">
      <alignment vertical="center" wrapText="1"/>
    </xf>
    <xf numFmtId="0" fontId="21" fillId="0" borderId="7" xfId="0" applyFont="1" applyFill="1" applyBorder="1" applyAlignment="1">
      <alignment vertical="top" wrapText="1"/>
    </xf>
    <xf numFmtId="0" fontId="1" fillId="0" borderId="1" xfId="0" applyFont="1" applyFill="1" applyBorder="1" applyAlignment="1">
      <alignment horizontal="right" vertical="center" wrapText="1"/>
    </xf>
    <xf numFmtId="0" fontId="2" fillId="0" borderId="10" xfId="0" applyFont="1" applyFill="1" applyBorder="1"/>
    <xf numFmtId="0" fontId="0" fillId="0" borderId="12" xfId="0" applyFill="1" applyBorder="1" applyAlignment="1">
      <alignment vertical="top" wrapText="1"/>
    </xf>
    <xf numFmtId="164" fontId="1" fillId="0" borderId="14" xfId="0" applyNumberFormat="1" applyFont="1" applyFill="1" applyBorder="1"/>
    <xf numFmtId="0" fontId="1" fillId="0" borderId="2" xfId="0" applyFont="1" applyFill="1" applyBorder="1" applyAlignment="1">
      <alignment horizontal="center"/>
    </xf>
    <xf numFmtId="0" fontId="0" fillId="0" borderId="0" xfId="0" applyFill="1" applyBorder="1" applyAlignment="1">
      <alignment vertical="top" wrapText="1"/>
    </xf>
    <xf numFmtId="164" fontId="1" fillId="0" borderId="0" xfId="0" applyNumberFormat="1" applyFont="1" applyFill="1" applyBorder="1"/>
    <xf numFmtId="0" fontId="8" fillId="0" borderId="10" xfId="0" applyFont="1" applyFill="1" applyBorder="1" applyAlignment="1">
      <alignment vertical="center" wrapText="1"/>
    </xf>
    <xf numFmtId="164" fontId="8" fillId="0" borderId="15" xfId="0" applyNumberFormat="1" applyFont="1" applyFill="1" applyBorder="1" applyAlignment="1">
      <alignment vertical="center" wrapText="1"/>
    </xf>
    <xf numFmtId="0" fontId="9" fillId="0" borderId="6" xfId="0" applyFont="1" applyFill="1" applyBorder="1" applyAlignment="1">
      <alignment vertical="center" wrapText="1"/>
    </xf>
    <xf numFmtId="164" fontId="1" fillId="0" borderId="6" xfId="0" applyNumberFormat="1" applyFont="1" applyFill="1" applyBorder="1" applyAlignment="1">
      <alignment horizontal="right" vertical="center" wrapText="1"/>
    </xf>
    <xf numFmtId="164" fontId="8" fillId="0" borderId="5" xfId="0" applyNumberFormat="1" applyFont="1" applyFill="1" applyBorder="1" applyAlignment="1">
      <alignment vertical="center" wrapText="1"/>
    </xf>
    <xf numFmtId="0" fontId="10" fillId="0" borderId="1" xfId="0" applyFont="1" applyFill="1" applyBorder="1" applyAlignment="1">
      <alignment vertical="top" wrapText="1"/>
    </xf>
    <xf numFmtId="166" fontId="1" fillId="0" borderId="1" xfId="0" applyNumberFormat="1" applyFont="1" applyFill="1" applyBorder="1" applyAlignment="1">
      <alignment vertical="center" wrapText="1"/>
    </xf>
    <xf numFmtId="2" fontId="1" fillId="0" borderId="1" xfId="0" applyNumberFormat="1" applyFont="1" applyFill="1" applyBorder="1" applyAlignment="1">
      <alignment horizontal="right" vertical="center" wrapText="1"/>
    </xf>
    <xf numFmtId="0" fontId="0" fillId="0" borderId="7" xfId="0" applyFill="1" applyBorder="1" applyAlignment="1">
      <alignment horizontal="center" vertical="top" wrapText="1"/>
    </xf>
    <xf numFmtId="0" fontId="18" fillId="0" borderId="11" xfId="0" applyFont="1" applyFill="1" applyBorder="1" applyAlignment="1">
      <alignment vertical="top" wrapText="1"/>
    </xf>
    <xf numFmtId="0" fontId="7" fillId="0" borderId="1" xfId="0" applyFont="1" applyFill="1" applyBorder="1" applyAlignment="1">
      <alignment vertical="center" wrapText="1"/>
    </xf>
    <xf numFmtId="164" fontId="7" fillId="0" borderId="1" xfId="0" applyNumberFormat="1" applyFont="1" applyFill="1" applyBorder="1" applyAlignment="1">
      <alignment vertical="center" wrapText="1"/>
    </xf>
    <xf numFmtId="0" fontId="0" fillId="0" borderId="0" xfId="0" applyFill="1" applyBorder="1" applyAlignment="1"/>
    <xf numFmtId="164" fontId="9" fillId="0" borderId="1" xfId="0" applyNumberFormat="1" applyFont="1" applyFill="1" applyBorder="1" applyAlignment="1">
      <alignment vertical="center" wrapText="1"/>
    </xf>
    <xf numFmtId="0" fontId="0" fillId="0" borderId="13" xfId="0" applyFill="1" applyBorder="1" applyAlignment="1"/>
    <xf numFmtId="164" fontId="1" fillId="0" borderId="13" xfId="0" applyNumberFormat="1" applyFont="1" applyFill="1" applyBorder="1" applyAlignment="1">
      <alignment horizontal="right" vertical="center" wrapText="1"/>
    </xf>
    <xf numFmtId="0" fontId="7" fillId="0" borderId="10" xfId="0" applyFont="1" applyFill="1" applyBorder="1" applyAlignment="1">
      <alignment vertical="center" wrapText="1"/>
    </xf>
    <xf numFmtId="164" fontId="7" fillId="0" borderId="15" xfId="0" applyNumberFormat="1" applyFont="1" applyFill="1" applyBorder="1" applyAlignment="1">
      <alignment vertical="center" wrapText="1"/>
    </xf>
    <xf numFmtId="0" fontId="1" fillId="0" borderId="6" xfId="0" applyFont="1" applyFill="1" applyBorder="1" applyAlignment="1">
      <alignment horizontal="center"/>
    </xf>
    <xf numFmtId="0" fontId="1" fillId="0" borderId="10" xfId="0" applyFont="1" applyFill="1" applyBorder="1" applyAlignment="1">
      <alignment horizontal="center"/>
    </xf>
    <xf numFmtId="0" fontId="7"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8" fillId="0" borderId="1" xfId="0" applyFont="1" applyFill="1" applyBorder="1" applyAlignment="1">
      <alignment vertical="center" wrapText="1"/>
    </xf>
    <xf numFmtId="164" fontId="8" fillId="0" borderId="1" xfId="0" applyNumberFormat="1" applyFont="1" applyFill="1" applyBorder="1" applyAlignment="1">
      <alignment vertical="center" wrapText="1"/>
    </xf>
    <xf numFmtId="0" fontId="0" fillId="0" borderId="1" xfId="0" applyFill="1" applyBorder="1" applyAlignment="1">
      <alignment vertical="top" wrapText="1"/>
    </xf>
    <xf numFmtId="164" fontId="1" fillId="0" borderId="1" xfId="0" applyNumberFormat="1" applyFont="1" applyFill="1" applyBorder="1"/>
    <xf numFmtId="0" fontId="8" fillId="0" borderId="7" xfId="0" applyFont="1" applyFill="1" applyBorder="1" applyAlignment="1">
      <alignment horizontal="left" vertical="top" wrapText="1"/>
    </xf>
    <xf numFmtId="0" fontId="8" fillId="0" borderId="2" xfId="0" applyFont="1" applyFill="1" applyBorder="1" applyAlignment="1">
      <alignment vertical="center" wrapText="1"/>
    </xf>
    <xf numFmtId="164" fontId="8" fillId="0" borderId="2" xfId="0" applyNumberFormat="1" applyFont="1" applyFill="1" applyBorder="1" applyAlignment="1">
      <alignment vertical="center" wrapText="1"/>
    </xf>
    <xf numFmtId="164" fontId="8" fillId="0" borderId="2" xfId="0" applyNumberFormat="1" applyFont="1" applyFill="1" applyBorder="1" applyAlignment="1">
      <alignment horizontal="right" vertical="center" wrapText="1"/>
    </xf>
    <xf numFmtId="0" fontId="1" fillId="0" borderId="8" xfId="0" applyFont="1" applyFill="1" applyBorder="1" applyAlignment="1">
      <alignment horizontal="center"/>
    </xf>
    <xf numFmtId="0" fontId="7" fillId="0" borderId="11" xfId="0" applyFont="1" applyFill="1" applyBorder="1" applyAlignment="1">
      <alignment horizontal="left" vertical="center" wrapText="1"/>
    </xf>
    <xf numFmtId="164" fontId="1" fillId="0" borderId="9" xfId="0" applyNumberFormat="1" applyFont="1" applyFill="1" applyBorder="1" applyAlignment="1">
      <alignment vertical="center"/>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2" xfId="0" applyFont="1" applyFill="1" applyBorder="1" applyAlignment="1">
      <alignment horizontal="center"/>
    </xf>
    <xf numFmtId="0" fontId="7" fillId="0" borderId="13" xfId="0" applyFont="1" applyFill="1" applyBorder="1" applyAlignment="1">
      <alignment horizontal="left" vertical="center" wrapText="1"/>
    </xf>
    <xf numFmtId="0" fontId="1" fillId="0" borderId="14" xfId="0" applyFont="1" applyFill="1" applyBorder="1" applyAlignment="1">
      <alignment horizontal="center" vertical="center" wrapText="1"/>
    </xf>
    <xf numFmtId="0" fontId="16" fillId="0" borderId="1" xfId="0" applyFont="1" applyFill="1" applyBorder="1" applyAlignment="1">
      <alignment vertical="center" wrapText="1"/>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top" wrapText="1"/>
    </xf>
    <xf numFmtId="0" fontId="19" fillId="0" borderId="1" xfId="0" applyFont="1" applyFill="1" applyBorder="1" applyAlignment="1">
      <alignment vertical="center" wrapText="1"/>
    </xf>
    <xf numFmtId="0" fontId="0" fillId="0" borderId="7" xfId="0" applyFill="1" applyBorder="1" applyAlignment="1">
      <alignment horizontal="left" vertical="top" wrapText="1"/>
    </xf>
    <xf numFmtId="0" fontId="8" fillId="0" borderId="4" xfId="0" applyFont="1" applyFill="1" applyBorder="1" applyAlignment="1">
      <alignment vertical="center" wrapText="1"/>
    </xf>
    <xf numFmtId="0" fontId="9" fillId="0" borderId="2" xfId="0" applyFont="1" applyFill="1" applyBorder="1" applyAlignment="1">
      <alignment vertical="center" wrapText="1"/>
    </xf>
    <xf numFmtId="0" fontId="15" fillId="0" borderId="14" xfId="0" applyFont="1" applyFill="1" applyBorder="1" applyAlignment="1">
      <alignment vertical="center" wrapText="1"/>
    </xf>
    <xf numFmtId="3" fontId="8" fillId="0" borderId="6" xfId="0" applyNumberFormat="1" applyFont="1" applyFill="1" applyBorder="1" applyAlignment="1">
      <alignment horizontal="right" vertical="center" wrapText="1"/>
    </xf>
    <xf numFmtId="164" fontId="8" fillId="0" borderId="11" xfId="0" applyNumberFormat="1" applyFont="1" applyFill="1" applyBorder="1" applyAlignment="1">
      <alignment vertical="center" wrapText="1"/>
    </xf>
    <xf numFmtId="0" fontId="19" fillId="0" borderId="8" xfId="0" applyFont="1" applyFill="1" applyBorder="1" applyAlignment="1">
      <alignment vertical="center" wrapText="1"/>
    </xf>
    <xf numFmtId="3" fontId="1" fillId="0" borderId="3" xfId="0" applyNumberFormat="1" applyFont="1" applyFill="1" applyBorder="1" applyAlignment="1">
      <alignment horizontal="right" vertical="center" wrapText="1"/>
    </xf>
    <xf numFmtId="164" fontId="8" fillId="0" borderId="11" xfId="0" applyNumberFormat="1" applyFont="1" applyFill="1" applyBorder="1" applyAlignment="1">
      <alignment horizontal="right" vertical="center" wrapText="1"/>
    </xf>
    <xf numFmtId="3" fontId="1" fillId="0" borderId="12" xfId="0" applyNumberFormat="1" applyFont="1" applyFill="1" applyBorder="1" applyAlignment="1">
      <alignment horizontal="right" vertical="center" wrapText="1"/>
    </xf>
    <xf numFmtId="3" fontId="1" fillId="0" borderId="16" xfId="0" applyNumberFormat="1" applyFont="1" applyFill="1" applyBorder="1" applyAlignment="1">
      <alignment horizontal="right" vertical="center" wrapText="1"/>
    </xf>
    <xf numFmtId="0" fontId="1" fillId="0" borderId="8" xfId="0" applyFont="1" applyFill="1" applyBorder="1" applyAlignment="1">
      <alignment horizontal="center" vertical="center" wrapText="1"/>
    </xf>
    <xf numFmtId="164" fontId="1" fillId="0" borderId="9" xfId="0" applyNumberFormat="1" applyFont="1" applyFill="1" applyBorder="1" applyAlignment="1">
      <alignment horizontal="center" vertical="center" wrapText="1"/>
    </xf>
    <xf numFmtId="0" fontId="1" fillId="0" borderId="13" xfId="0" applyFont="1" applyFill="1" applyBorder="1" applyAlignment="1">
      <alignment vertical="center" wrapText="1"/>
    </xf>
    <xf numFmtId="3" fontId="1" fillId="0" borderId="6" xfId="0" applyNumberFormat="1" applyFont="1" applyFill="1" applyBorder="1" applyAlignment="1">
      <alignment horizontal="right" vertical="center" wrapText="1"/>
    </xf>
    <xf numFmtId="0" fontId="1" fillId="0" borderId="10" xfId="0" applyFont="1" applyFill="1" applyBorder="1" applyAlignment="1">
      <alignment horizontal="center" vertical="center" wrapText="1"/>
    </xf>
    <xf numFmtId="164" fontId="1" fillId="0" borderId="15" xfId="0" applyNumberFormat="1" applyFont="1" applyFill="1" applyBorder="1" applyAlignment="1">
      <alignment horizontal="center" vertical="center" wrapText="1"/>
    </xf>
    <xf numFmtId="0" fontId="2" fillId="0" borderId="3" xfId="0" applyFont="1" applyFill="1" applyBorder="1" applyAlignment="1">
      <alignment horizontal="justify" vertical="center" wrapText="1"/>
    </xf>
    <xf numFmtId="164" fontId="2" fillId="0" borderId="5" xfId="0" applyNumberFormat="1" applyFont="1" applyFill="1" applyBorder="1" applyAlignment="1">
      <alignment horizontal="justify" vertical="center" wrapText="1"/>
    </xf>
    <xf numFmtId="0" fontId="2" fillId="0" borderId="11" xfId="0" applyFont="1" applyFill="1" applyBorder="1" applyAlignment="1">
      <alignment horizontal="justify" vertical="center" wrapText="1"/>
    </xf>
    <xf numFmtId="164" fontId="2" fillId="0" borderId="11" xfId="0" applyNumberFormat="1" applyFont="1" applyFill="1" applyBorder="1" applyAlignment="1">
      <alignment horizontal="justify" vertical="center" wrapText="1"/>
    </xf>
    <xf numFmtId="164" fontId="1" fillId="0" borderId="11" xfId="0" applyNumberFormat="1" applyFont="1" applyFill="1" applyBorder="1" applyAlignment="1">
      <alignment horizontal="right" vertical="center"/>
    </xf>
    <xf numFmtId="0" fontId="2" fillId="0" borderId="0" xfId="0" applyFont="1" applyFill="1" applyBorder="1" applyAlignment="1">
      <alignment horizontal="justify" vertical="center" wrapText="1"/>
    </xf>
    <xf numFmtId="164" fontId="2" fillId="0" borderId="0" xfId="0" applyNumberFormat="1" applyFont="1" applyFill="1" applyBorder="1" applyAlignment="1">
      <alignment horizontal="justify" vertical="center" wrapText="1"/>
    </xf>
    <xf numFmtId="164" fontId="1" fillId="0" borderId="0" xfId="0" applyNumberFormat="1" applyFont="1" applyFill="1" applyBorder="1" applyAlignment="1">
      <alignment horizontal="right" vertical="center"/>
    </xf>
    <xf numFmtId="0" fontId="7" fillId="0" borderId="12" xfId="0" applyFont="1" applyFill="1" applyBorder="1" applyAlignment="1">
      <alignment vertical="center" wrapText="1"/>
    </xf>
    <xf numFmtId="164" fontId="9" fillId="0" borderId="14" xfId="0" applyNumberFormat="1" applyFont="1" applyFill="1" applyBorder="1" applyAlignment="1">
      <alignment vertical="center" wrapText="1"/>
    </xf>
    <xf numFmtId="0" fontId="2" fillId="0" borderId="13" xfId="0" applyFont="1" applyFill="1" applyBorder="1" applyAlignment="1">
      <alignment horizontal="justify" vertical="center" wrapText="1"/>
    </xf>
    <xf numFmtId="164" fontId="2" fillId="0" borderId="13" xfId="0" applyNumberFormat="1" applyFont="1" applyFill="1" applyBorder="1" applyAlignment="1">
      <alignment horizontal="justify" vertical="center" wrapText="1"/>
    </xf>
    <xf numFmtId="164" fontId="1" fillId="0" borderId="13" xfId="0" applyNumberFormat="1" applyFont="1" applyFill="1" applyBorder="1" applyAlignment="1">
      <alignment horizontal="right" vertical="center"/>
    </xf>
    <xf numFmtId="0" fontId="9" fillId="0" borderId="1" xfId="0" applyFont="1" applyFill="1" applyBorder="1" applyAlignment="1">
      <alignment vertical="top" wrapText="1"/>
    </xf>
    <xf numFmtId="164" fontId="1" fillId="0" borderId="1" xfId="0" applyNumberFormat="1" applyFont="1" applyFill="1" applyBorder="1" applyAlignment="1">
      <alignment vertical="top" wrapText="1"/>
    </xf>
    <xf numFmtId="3" fontId="1" fillId="0" borderId="1" xfId="0" applyNumberFormat="1" applyFont="1" applyFill="1" applyBorder="1" applyAlignment="1">
      <alignment vertical="top" wrapText="1"/>
    </xf>
    <xf numFmtId="0" fontId="1" fillId="0" borderId="7" xfId="0" applyFont="1" applyFill="1" applyBorder="1" applyAlignment="1">
      <alignment horizontal="left" vertical="center" wrapText="1"/>
    </xf>
    <xf numFmtId="164" fontId="2" fillId="0" borderId="1" xfId="0" applyNumberFormat="1" applyFont="1" applyFill="1" applyBorder="1" applyAlignment="1">
      <alignment vertical="top" wrapText="1"/>
    </xf>
    <xf numFmtId="164" fontId="8" fillId="0" borderId="5" xfId="0" applyNumberFormat="1" applyFont="1" applyFill="1" applyBorder="1" applyAlignment="1">
      <alignment horizontal="right" vertical="center" wrapText="1"/>
    </xf>
    <xf numFmtId="0" fontId="2" fillId="0" borderId="8" xfId="0" applyFont="1" applyFill="1" applyBorder="1" applyAlignment="1">
      <alignment horizontal="justify" vertical="center" wrapText="1"/>
    </xf>
    <xf numFmtId="164" fontId="2" fillId="0" borderId="9" xfId="0" applyNumberFormat="1" applyFont="1" applyFill="1" applyBorder="1" applyAlignment="1">
      <alignment horizontal="justify" vertical="center" wrapText="1"/>
    </xf>
    <xf numFmtId="4" fontId="2" fillId="0" borderId="1" xfId="0" applyNumberFormat="1" applyFont="1" applyFill="1" applyBorder="1" applyAlignment="1">
      <alignment vertical="center" wrapText="1"/>
    </xf>
    <xf numFmtId="0" fontId="13" fillId="0" borderId="10" xfId="0" applyFont="1" applyFill="1" applyBorder="1" applyAlignment="1">
      <alignment vertical="top" wrapText="1"/>
    </xf>
    <xf numFmtId="164" fontId="13" fillId="0" borderId="15" xfId="0" applyNumberFormat="1" applyFont="1" applyFill="1" applyBorder="1" applyAlignment="1">
      <alignment vertical="top" wrapText="1"/>
    </xf>
    <xf numFmtId="0" fontId="2" fillId="0" borderId="1" xfId="0" applyFont="1" applyFill="1" applyBorder="1" applyAlignment="1">
      <alignment vertical="top" wrapText="1"/>
    </xf>
    <xf numFmtId="164" fontId="7" fillId="0" borderId="3" xfId="0" applyNumberFormat="1" applyFont="1" applyFill="1" applyBorder="1" applyAlignment="1">
      <alignment vertical="center" wrapText="1"/>
    </xf>
    <xf numFmtId="0" fontId="1" fillId="0" borderId="8" xfId="0" applyFont="1" applyFill="1" applyBorder="1" applyAlignment="1">
      <alignment vertical="center"/>
    </xf>
    <xf numFmtId="3" fontId="1" fillId="0" borderId="11" xfId="0" applyNumberFormat="1" applyFont="1" applyFill="1" applyBorder="1" applyAlignment="1">
      <alignment horizontal="right" vertical="center" wrapText="1"/>
    </xf>
    <xf numFmtId="3" fontId="1" fillId="0" borderId="9" xfId="0" applyNumberFormat="1" applyFont="1" applyFill="1" applyBorder="1" applyAlignment="1">
      <alignment horizontal="right" vertical="center" wrapText="1"/>
    </xf>
    <xf numFmtId="164" fontId="9" fillId="0" borderId="3" xfId="0" applyNumberFormat="1" applyFont="1" applyFill="1" applyBorder="1" applyAlignment="1">
      <alignment vertical="center" wrapText="1"/>
    </xf>
    <xf numFmtId="0" fontId="1" fillId="0" borderId="10" xfId="0" applyFont="1" applyFill="1" applyBorder="1" applyAlignment="1">
      <alignment vertical="center"/>
    </xf>
    <xf numFmtId="164" fontId="9" fillId="0" borderId="0" xfId="0" applyNumberFormat="1" applyFont="1" applyFill="1" applyBorder="1" applyAlignment="1">
      <alignment vertical="center" wrapText="1"/>
    </xf>
    <xf numFmtId="3" fontId="1" fillId="0" borderId="0" xfId="0" applyNumberFormat="1" applyFont="1" applyFill="1" applyBorder="1" applyAlignment="1">
      <alignment horizontal="right" vertical="center" wrapText="1"/>
    </xf>
    <xf numFmtId="3" fontId="1" fillId="0" borderId="15" xfId="0" applyNumberFormat="1" applyFont="1" applyFill="1" applyBorder="1" applyAlignment="1">
      <alignment horizontal="right" vertical="center" wrapText="1"/>
    </xf>
    <xf numFmtId="0" fontId="1" fillId="0" borderId="12" xfId="0" applyFont="1" applyFill="1" applyBorder="1" applyAlignment="1">
      <alignment vertical="center"/>
    </xf>
    <xf numFmtId="164" fontId="9" fillId="0" borderId="13" xfId="0" applyNumberFormat="1" applyFont="1" applyFill="1" applyBorder="1" applyAlignment="1">
      <alignment vertical="center" wrapText="1"/>
    </xf>
    <xf numFmtId="3" fontId="1" fillId="0" borderId="13" xfId="0" applyNumberFormat="1" applyFont="1" applyFill="1" applyBorder="1" applyAlignment="1">
      <alignment horizontal="right" vertical="center" wrapText="1"/>
    </xf>
    <xf numFmtId="3" fontId="1" fillId="0" borderId="14" xfId="0" applyNumberFormat="1" applyFont="1" applyFill="1" applyBorder="1" applyAlignment="1">
      <alignment horizontal="right" vertical="center" wrapText="1"/>
    </xf>
    <xf numFmtId="164" fontId="9" fillId="0" borderId="9" xfId="0" applyNumberFormat="1" applyFont="1" applyFill="1" applyBorder="1" applyAlignment="1">
      <alignment vertical="center" wrapText="1"/>
    </xf>
    <xf numFmtId="0" fontId="8" fillId="0" borderId="7" xfId="0" applyFont="1" applyFill="1" applyBorder="1" applyAlignment="1">
      <alignment horizontal="center" vertical="top" wrapText="1"/>
    </xf>
    <xf numFmtId="0" fontId="7" fillId="0" borderId="1" xfId="0" applyFont="1" applyFill="1" applyBorder="1" applyAlignment="1">
      <alignment vertical="top" wrapText="1"/>
    </xf>
    <xf numFmtId="0" fontId="7" fillId="0" borderId="5" xfId="0" applyFont="1" applyFill="1" applyBorder="1" applyAlignment="1">
      <alignment vertical="top" wrapText="1"/>
    </xf>
    <xf numFmtId="0" fontId="8" fillId="0" borderId="12" xfId="0" applyFont="1" applyFill="1" applyBorder="1" applyAlignment="1">
      <alignment vertical="center" wrapText="1"/>
    </xf>
    <xf numFmtId="164" fontId="8" fillId="0" borderId="14" xfId="0" applyNumberFormat="1" applyFont="1" applyFill="1" applyBorder="1" applyAlignment="1">
      <alignment vertical="center" wrapText="1"/>
    </xf>
    <xf numFmtId="0" fontId="1" fillId="0" borderId="2" xfId="0" applyFont="1" applyFill="1" applyBorder="1" applyAlignment="1">
      <alignment horizontal="left" vertical="top" wrapText="1"/>
    </xf>
    <xf numFmtId="0" fontId="8" fillId="0" borderId="6" xfId="0" applyFont="1" applyFill="1" applyBorder="1" applyAlignment="1">
      <alignment horizontal="center" vertical="top" wrapText="1"/>
    </xf>
    <xf numFmtId="0" fontId="1" fillId="0" borderId="2"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0" xfId="0" applyFont="1" applyFill="1" applyBorder="1" applyAlignment="1">
      <alignment horizontal="center" vertical="top" wrapText="1"/>
    </xf>
    <xf numFmtId="0" fontId="8" fillId="0" borderId="6" xfId="0" applyFont="1" applyFill="1" applyBorder="1" applyAlignment="1">
      <alignment horizontal="center" vertical="center" wrapText="1"/>
    </xf>
    <xf numFmtId="164" fontId="7" fillId="0" borderId="5" xfId="0" applyNumberFormat="1" applyFont="1" applyFill="1" applyBorder="1" applyAlignment="1">
      <alignment vertical="center" wrapText="1"/>
    </xf>
    <xf numFmtId="0" fontId="1" fillId="0" borderId="0" xfId="0" applyFont="1" applyFill="1" applyAlignment="1">
      <alignment horizontal="center" vertical="top" wrapText="1"/>
    </xf>
    <xf numFmtId="0" fontId="1" fillId="0" borderId="0" xfId="0" applyFont="1" applyFill="1" applyAlignment="1">
      <alignment vertical="center" wrapText="1"/>
    </xf>
    <xf numFmtId="164" fontId="1" fillId="0" borderId="0" xfId="0" applyNumberFormat="1" applyFont="1" applyFill="1" applyAlignment="1">
      <alignment vertical="center" wrapText="1"/>
    </xf>
    <xf numFmtId="164" fontId="9" fillId="0" borderId="0" xfId="0" applyNumberFormat="1" applyFont="1" applyFill="1" applyAlignment="1">
      <alignment horizontal="center" vertical="center"/>
    </xf>
    <xf numFmtId="0" fontId="9" fillId="0" borderId="0" xfId="0" applyFont="1" applyFill="1" applyAlignment="1">
      <alignment horizontal="left" vertical="center"/>
    </xf>
    <xf numFmtId="0" fontId="9" fillId="0" borderId="0" xfId="0" applyFont="1" applyFill="1" applyAlignment="1">
      <alignment horizontal="right" vertical="center"/>
    </xf>
    <xf numFmtId="0" fontId="8" fillId="0" borderId="8" xfId="0" applyFont="1" applyFill="1" applyBorder="1" applyAlignment="1">
      <alignmen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0" fillId="0" borderId="14" xfId="0" applyFill="1" applyBorder="1" applyAlignment="1">
      <alignment vertical="center" wrapText="1"/>
    </xf>
    <xf numFmtId="0" fontId="1" fillId="0" borderId="2" xfId="0" applyFont="1" applyFill="1" applyBorder="1" applyAlignment="1">
      <alignment horizontal="left" vertical="top" wrapText="1"/>
    </xf>
    <xf numFmtId="0" fontId="0" fillId="0" borderId="7" xfId="0" applyFill="1" applyBorder="1" applyAlignment="1">
      <alignment horizontal="left" vertical="top" wrapText="1"/>
    </xf>
    <xf numFmtId="0" fontId="1" fillId="0" borderId="2" xfId="0" applyFont="1" applyFill="1" applyBorder="1" applyAlignment="1">
      <alignment vertical="top" wrapText="1"/>
    </xf>
    <xf numFmtId="0" fontId="1" fillId="0" borderId="7" xfId="0" applyFont="1" applyFill="1" applyBorder="1" applyAlignment="1">
      <alignment vertical="top" wrapText="1"/>
    </xf>
    <xf numFmtId="0" fontId="1" fillId="0" borderId="6" xfId="0" applyFont="1" applyFill="1" applyBorder="1" applyAlignment="1">
      <alignment vertical="top" wrapText="1"/>
    </xf>
    <xf numFmtId="0" fontId="0" fillId="0" borderId="7" xfId="0" applyFill="1" applyBorder="1" applyAlignment="1">
      <alignment wrapText="1"/>
    </xf>
    <xf numFmtId="0" fontId="2" fillId="0" borderId="2"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6" xfId="0" applyFont="1" applyFill="1" applyBorder="1" applyAlignment="1">
      <alignment horizontal="left" vertical="top" wrapText="1"/>
    </xf>
    <xf numFmtId="0" fontId="9" fillId="0" borderId="8" xfId="0" applyFont="1" applyFill="1" applyBorder="1" applyAlignment="1">
      <alignment horizontal="left" vertical="center" wrapText="1"/>
    </xf>
    <xf numFmtId="0" fontId="0" fillId="0" borderId="11" xfId="0" applyFill="1" applyBorder="1" applyAlignment="1">
      <alignment vertical="center" wrapText="1"/>
    </xf>
    <xf numFmtId="0" fontId="0" fillId="0" borderId="10" xfId="0" applyFill="1" applyBorder="1" applyAlignment="1">
      <alignment vertical="center" wrapText="1"/>
    </xf>
    <xf numFmtId="0" fontId="0" fillId="0" borderId="0" xfId="0" applyFill="1" applyBorder="1" applyAlignment="1">
      <alignment vertical="center" wrapText="1"/>
    </xf>
    <xf numFmtId="0" fontId="0" fillId="0" borderId="13" xfId="0" applyFill="1" applyBorder="1" applyAlignment="1">
      <alignment vertical="center" wrapText="1"/>
    </xf>
    <xf numFmtId="0" fontId="2" fillId="0" borderId="2" xfId="0" applyFont="1" applyFill="1" applyBorder="1" applyAlignment="1">
      <alignment vertical="top" wrapText="1"/>
    </xf>
    <xf numFmtId="0" fontId="2" fillId="0" borderId="7" xfId="0" applyFont="1" applyFill="1" applyBorder="1" applyAlignment="1">
      <alignment vertical="top" wrapText="1"/>
    </xf>
    <xf numFmtId="0" fontId="2" fillId="0" borderId="6" xfId="0" applyFont="1" applyFill="1" applyBorder="1" applyAlignment="1">
      <alignment vertical="top" wrapText="1"/>
    </xf>
    <xf numFmtId="0" fontId="1" fillId="0" borderId="2" xfId="0" applyFont="1" applyFill="1" applyBorder="1" applyAlignment="1">
      <alignment horizontal="center" vertical="top" wrapText="1"/>
    </xf>
    <xf numFmtId="0" fontId="1" fillId="0" borderId="7" xfId="0" applyFont="1" applyFill="1" applyBorder="1" applyAlignment="1">
      <alignment horizontal="center" vertical="top" wrapText="1"/>
    </xf>
    <xf numFmtId="0" fontId="1" fillId="0" borderId="10" xfId="0" applyFont="1" applyFill="1" applyBorder="1" applyAlignment="1">
      <alignment horizontal="center" vertical="top" wrapText="1"/>
    </xf>
    <xf numFmtId="0" fontId="1" fillId="0" borderId="12"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1" xfId="0" applyFont="1" applyFill="1" applyBorder="1" applyAlignment="1">
      <alignment horizontal="center" vertical="top" wrapText="1"/>
    </xf>
    <xf numFmtId="0" fontId="1" fillId="0" borderId="1" xfId="0" applyFont="1" applyFill="1" applyBorder="1" applyAlignment="1">
      <alignment vertical="top" wrapText="1"/>
    </xf>
    <xf numFmtId="0" fontId="1" fillId="0" borderId="7" xfId="0" applyFont="1" applyFill="1" applyBorder="1" applyAlignment="1">
      <alignment horizontal="left" vertical="top" wrapText="1"/>
    </xf>
    <xf numFmtId="0" fontId="0" fillId="0" borderId="7" xfId="0" applyFill="1" applyBorder="1" applyAlignment="1">
      <alignment vertical="top" wrapText="1"/>
    </xf>
    <xf numFmtId="0" fontId="9" fillId="0" borderId="8"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5" xfId="0" applyFont="1" applyFill="1" applyBorder="1" applyAlignment="1">
      <alignment horizontal="left" vertical="center"/>
    </xf>
    <xf numFmtId="0" fontId="0" fillId="0" borderId="6" xfId="0" applyFill="1" applyBorder="1" applyAlignment="1">
      <alignment vertical="top"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11" xfId="0" applyFont="1" applyFill="1" applyBorder="1" applyAlignment="1">
      <alignment vertical="center" wrapText="1"/>
    </xf>
    <xf numFmtId="0" fontId="0" fillId="0" borderId="10" xfId="0" applyFont="1" applyFill="1" applyBorder="1" applyAlignment="1">
      <alignment vertical="center" wrapText="1"/>
    </xf>
    <xf numFmtId="0" fontId="0" fillId="0" borderId="0" xfId="0" applyFont="1" applyFill="1" applyBorder="1" applyAlignment="1">
      <alignment vertical="center" wrapText="1"/>
    </xf>
    <xf numFmtId="0" fontId="0" fillId="0" borderId="12" xfId="0" applyFont="1" applyFill="1" applyBorder="1" applyAlignment="1">
      <alignment vertical="center" wrapText="1"/>
    </xf>
    <xf numFmtId="0" fontId="0" fillId="0" borderId="13" xfId="0" applyFont="1" applyFill="1" applyBorder="1" applyAlignment="1">
      <alignment vertical="center" wrapText="1"/>
    </xf>
    <xf numFmtId="0" fontId="1" fillId="0" borderId="1" xfId="0" applyFont="1" applyFill="1" applyBorder="1" applyAlignment="1">
      <alignment horizontal="left" vertical="top" wrapText="1"/>
    </xf>
    <xf numFmtId="0" fontId="1" fillId="0" borderId="3" xfId="0" applyFont="1" applyFill="1" applyBorder="1" applyAlignment="1">
      <alignment horizontal="center"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14" fillId="0" borderId="7" xfId="0" applyFont="1" applyFill="1" applyBorder="1" applyAlignment="1">
      <alignment horizontal="center" vertical="top"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Font="1" applyFill="1" applyBorder="1" applyAlignment="1">
      <alignment horizontal="justify" vertical="top" wrapText="1"/>
    </xf>
    <xf numFmtId="0" fontId="2" fillId="0" borderId="3" xfId="0" applyFont="1" applyFill="1" applyBorder="1" applyAlignment="1">
      <alignment horizontal="justify" vertical="top" wrapText="1"/>
    </xf>
    <xf numFmtId="0" fontId="1" fillId="0" borderId="6" xfId="0" applyFont="1" applyFill="1" applyBorder="1" applyAlignment="1">
      <alignment horizontal="left" vertical="top" wrapText="1"/>
    </xf>
    <xf numFmtId="0" fontId="8" fillId="0" borderId="2" xfId="0" applyFont="1" applyFill="1" applyBorder="1" applyAlignment="1">
      <alignment horizontal="left" vertical="top" wrapText="1"/>
    </xf>
    <xf numFmtId="0" fontId="8" fillId="0" borderId="1" xfId="0" applyFont="1" applyFill="1" applyBorder="1" applyAlignment="1">
      <alignment vertical="top" wrapText="1"/>
    </xf>
    <xf numFmtId="0" fontId="1" fillId="0" borderId="5" xfId="0" applyFont="1" applyFill="1" applyBorder="1" applyAlignment="1">
      <alignment vertical="top" wrapText="1"/>
    </xf>
    <xf numFmtId="0" fontId="7" fillId="0" borderId="1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164" fontId="1" fillId="0" borderId="4" xfId="0" applyNumberFormat="1" applyFont="1" applyFill="1" applyBorder="1" applyAlignment="1">
      <alignment horizontal="center" vertical="center" wrapText="1"/>
    </xf>
    <xf numFmtId="164" fontId="1" fillId="0" borderId="5"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9" fillId="0" borderId="10" xfId="0" applyFont="1" applyFill="1" applyBorder="1" applyAlignment="1">
      <alignment horizontal="left" vertical="center"/>
    </xf>
    <xf numFmtId="0" fontId="7" fillId="0" borderId="2"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2" xfId="0" applyFont="1" applyFill="1" applyBorder="1" applyAlignment="1">
      <alignment vertical="top" wrapText="1"/>
    </xf>
    <xf numFmtId="0" fontId="8" fillId="0" borderId="7" xfId="0" applyFont="1" applyFill="1" applyBorder="1" applyAlignment="1">
      <alignment vertical="top"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9" fillId="0" borderId="14" xfId="0" applyFont="1" applyFill="1" applyBorder="1" applyAlignment="1">
      <alignment horizontal="left" vertical="center"/>
    </xf>
    <xf numFmtId="0" fontId="8" fillId="0" borderId="6" xfId="0" applyFont="1" applyFill="1" applyBorder="1" applyAlignment="1">
      <alignment vertical="top" wrapText="1"/>
    </xf>
    <xf numFmtId="0" fontId="14" fillId="0" borderId="1" xfId="0" applyFont="1" applyFill="1" applyBorder="1" applyAlignment="1">
      <alignment vertical="top" wrapText="1"/>
    </xf>
    <xf numFmtId="0" fontId="13" fillId="0" borderId="1" xfId="0" applyFont="1" applyFill="1" applyBorder="1" applyAlignment="1">
      <alignment vertical="top" wrapText="1"/>
    </xf>
    <xf numFmtId="0" fontId="8" fillId="0" borderId="1" xfId="0" applyFont="1" applyFill="1" applyBorder="1" applyAlignment="1">
      <alignment horizontal="center" vertical="top" wrapText="1"/>
    </xf>
    <xf numFmtId="0" fontId="8" fillId="0" borderId="3" xfId="0" applyFont="1" applyFill="1" applyBorder="1" applyAlignment="1">
      <alignment horizontal="center" vertical="top" wrapText="1"/>
    </xf>
    <xf numFmtId="0" fontId="8" fillId="0" borderId="1" xfId="0" applyFont="1" applyFill="1" applyBorder="1" applyAlignment="1">
      <alignment horizontal="left" vertical="top" wrapText="1"/>
    </xf>
    <xf numFmtId="0" fontId="9" fillId="0" borderId="6" xfId="0" applyFont="1" applyFill="1" applyBorder="1" applyAlignment="1">
      <alignment horizontal="justify" vertical="center" wrapText="1"/>
    </xf>
    <xf numFmtId="0" fontId="9" fillId="0" borderId="6" xfId="0" applyFont="1" applyFill="1" applyBorder="1" applyAlignment="1">
      <alignment vertical="center" wrapText="1"/>
    </xf>
    <xf numFmtId="0" fontId="8" fillId="0" borderId="6" xfId="0" applyFont="1" applyFill="1" applyBorder="1" applyAlignment="1">
      <alignment horizontal="left" vertical="top" wrapText="1"/>
    </xf>
    <xf numFmtId="0" fontId="0" fillId="0" borderId="15" xfId="0" applyFill="1" applyBorder="1" applyAlignment="1">
      <alignmen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3" fillId="0" borderId="7" xfId="0" applyFont="1" applyFill="1" applyBorder="1" applyAlignment="1">
      <alignment vertical="top" wrapText="1"/>
    </xf>
    <xf numFmtId="0" fontId="2" fillId="0" borderId="1" xfId="0" applyFont="1" applyFill="1" applyBorder="1" applyAlignment="1">
      <alignment horizontal="center" vertical="top" wrapText="1"/>
    </xf>
    <xf numFmtId="0" fontId="2" fillId="0" borderId="3" xfId="0" applyFont="1" applyFill="1" applyBorder="1" applyAlignment="1">
      <alignment horizontal="center" vertical="top" wrapText="1"/>
    </xf>
    <xf numFmtId="0" fontId="23" fillId="0" borderId="3" xfId="0" applyFont="1" applyFill="1" applyBorder="1" applyAlignment="1">
      <alignment vertical="top" wrapText="1"/>
    </xf>
    <xf numFmtId="0" fontId="22" fillId="0" borderId="4" xfId="0" applyFont="1" applyFill="1" applyBorder="1" applyAlignment="1"/>
    <xf numFmtId="0" fontId="22" fillId="0" borderId="13" xfId="0" applyFont="1" applyFill="1" applyBorder="1" applyAlignment="1"/>
    <xf numFmtId="0" fontId="3" fillId="0" borderId="7" xfId="0" applyFont="1" applyFill="1" applyBorder="1" applyAlignment="1">
      <alignment vertical="top" wrapText="1"/>
    </xf>
    <xf numFmtId="0" fontId="9" fillId="0" borderId="0" xfId="0" applyFont="1" applyFill="1" applyBorder="1" applyAlignment="1">
      <alignment horizontal="left" vertical="center" wrapText="1"/>
    </xf>
    <xf numFmtId="0" fontId="11" fillId="0" borderId="1" xfId="0" applyFont="1" applyFill="1" applyBorder="1" applyAlignment="1">
      <alignment vertical="top"/>
    </xf>
    <xf numFmtId="0" fontId="2" fillId="0" borderId="3" xfId="0" applyFont="1" applyFill="1" applyBorder="1" applyAlignment="1">
      <alignment vertical="top" wrapText="1"/>
    </xf>
    <xf numFmtId="0" fontId="2" fillId="0" borderId="8" xfId="0" applyFont="1" applyFill="1" applyBorder="1" applyAlignment="1">
      <alignment vertical="top" wrapText="1"/>
    </xf>
    <xf numFmtId="0" fontId="2" fillId="0" borderId="1" xfId="0" applyFont="1" applyFill="1" applyBorder="1" applyAlignment="1">
      <alignment horizontal="left" vertical="top" wrapText="1"/>
    </xf>
    <xf numFmtId="0" fontId="3" fillId="0" borderId="10" xfId="0" applyFont="1" applyFill="1" applyBorder="1" applyAlignment="1">
      <alignment vertical="top" wrapText="1"/>
    </xf>
    <xf numFmtId="0" fontId="4" fillId="0" borderId="0" xfId="0" applyFont="1" applyFill="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7" fillId="0" borderId="7" xfId="0" applyFont="1" applyFill="1" applyBorder="1" applyAlignment="1">
      <alignment horizontal="left" vertical="top"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164" fontId="2" fillId="0" borderId="5" xfId="0" applyNumberFormat="1" applyFont="1" applyFill="1" applyBorder="1" applyAlignment="1">
      <alignment horizontal="center" vertical="center" wrapText="1"/>
    </xf>
    <xf numFmtId="0" fontId="10" fillId="0" borderId="8" xfId="0" applyFont="1" applyFill="1" applyBorder="1" applyAlignment="1">
      <alignment horizontal="right" vertical="center" wrapText="1"/>
    </xf>
    <xf numFmtId="0" fontId="10" fillId="0" borderId="11" xfId="0" applyFont="1" applyFill="1" applyBorder="1" applyAlignment="1">
      <alignment horizontal="right" vertical="center" wrapText="1"/>
    </xf>
    <xf numFmtId="0" fontId="10" fillId="0" borderId="9" xfId="0" applyFont="1" applyFill="1" applyBorder="1" applyAlignment="1">
      <alignment horizontal="right" vertical="center" wrapText="1"/>
    </xf>
    <xf numFmtId="0" fontId="10" fillId="0" borderId="10" xfId="0" applyFont="1" applyFill="1" applyBorder="1" applyAlignment="1">
      <alignment horizontal="right" vertical="center" wrapText="1"/>
    </xf>
    <xf numFmtId="0" fontId="10" fillId="0" borderId="0" xfId="0" applyFont="1" applyFill="1" applyBorder="1" applyAlignment="1">
      <alignment horizontal="right" vertical="center" wrapText="1"/>
    </xf>
    <xf numFmtId="0" fontId="10" fillId="0" borderId="15" xfId="0" applyFont="1" applyFill="1" applyBorder="1" applyAlignment="1">
      <alignment horizontal="right" vertical="center" wrapText="1"/>
    </xf>
    <xf numFmtId="0" fontId="10" fillId="0" borderId="12" xfId="0" applyFont="1" applyFill="1" applyBorder="1" applyAlignment="1">
      <alignment horizontal="right" vertical="center" wrapText="1"/>
    </xf>
    <xf numFmtId="0" fontId="10" fillId="0" borderId="13" xfId="0" applyFont="1" applyFill="1" applyBorder="1" applyAlignment="1">
      <alignment horizontal="right" vertical="center" wrapText="1"/>
    </xf>
    <xf numFmtId="0" fontId="10" fillId="0" borderId="14" xfId="0" applyFont="1" applyFill="1" applyBorder="1" applyAlignment="1">
      <alignment horizontal="right" vertical="center" wrapText="1"/>
    </xf>
    <xf numFmtId="0" fontId="14" fillId="0" borderId="7" xfId="0" applyFont="1" applyFill="1" applyBorder="1" applyAlignment="1">
      <alignment vertical="top" wrapText="1"/>
    </xf>
    <xf numFmtId="0" fontId="0" fillId="0" borderId="7" xfId="0" applyFont="1" applyFill="1" applyBorder="1" applyAlignment="1">
      <alignment wrapText="1"/>
    </xf>
    <xf numFmtId="0" fontId="0" fillId="0" borderId="6" xfId="0" applyFill="1" applyBorder="1" applyAlignment="1">
      <alignment wrapText="1"/>
    </xf>
    <xf numFmtId="0" fontId="0" fillId="0" borderId="9" xfId="0" applyFill="1" applyBorder="1" applyAlignment="1"/>
    <xf numFmtId="0" fontId="0" fillId="0" borderId="10" xfId="0" applyFill="1" applyBorder="1" applyAlignment="1"/>
    <xf numFmtId="0" fontId="0" fillId="0" borderId="15" xfId="0" applyFill="1" applyBorder="1" applyAlignment="1"/>
    <xf numFmtId="0" fontId="0" fillId="0" borderId="12" xfId="0" applyFill="1" applyBorder="1" applyAlignment="1"/>
    <xf numFmtId="0" fontId="0" fillId="0" borderId="14" xfId="0" applyFill="1" applyBorder="1" applyAlignment="1"/>
    <xf numFmtId="0" fontId="1" fillId="0" borderId="10" xfId="0" applyFont="1" applyFill="1" applyBorder="1" applyAlignment="1">
      <alignment vertical="top" wrapText="1"/>
    </xf>
    <xf numFmtId="0" fontId="0" fillId="0" borderId="4" xfId="0" applyFill="1" applyBorder="1" applyAlignment="1"/>
    <xf numFmtId="0" fontId="0" fillId="0" borderId="8" xfId="0" applyFill="1" applyBorder="1" applyAlignment="1">
      <alignment vertical="center" wrapText="1"/>
    </xf>
    <xf numFmtId="0" fontId="8" fillId="0" borderId="11" xfId="0" applyFont="1" applyFill="1" applyBorder="1" applyAlignment="1">
      <alignment vertical="center" wrapText="1"/>
    </xf>
    <xf numFmtId="0" fontId="0" fillId="0" borderId="0" xfId="0" applyFill="1" applyAlignment="1">
      <alignment vertical="center" wrapText="1"/>
    </xf>
    <xf numFmtId="0" fontId="9" fillId="0" borderId="10"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 fillId="0" borderId="7" xfId="0" applyFont="1" applyFill="1" applyBorder="1" applyAlignment="1">
      <alignment horizontal="center"/>
    </xf>
    <xf numFmtId="0" fontId="21" fillId="0" borderId="7" xfId="0" applyFont="1" applyFill="1" applyBorder="1" applyAlignment="1">
      <alignment horizontal="center" vertical="top" wrapText="1"/>
    </xf>
    <xf numFmtId="0" fontId="0" fillId="0" borderId="6" xfId="0" applyFill="1" applyBorder="1" applyAlignment="1">
      <alignment horizontal="left" vertical="top" wrapText="1"/>
    </xf>
    <xf numFmtId="164" fontId="1" fillId="0" borderId="0" xfId="0" applyNumberFormat="1" applyFont="1" applyFill="1" applyAlignment="1">
      <alignment horizontal="right" vertical="center" wrapText="1"/>
    </xf>
    <xf numFmtId="0" fontId="1" fillId="0" borderId="3" xfId="0" applyFont="1" applyFill="1" applyBorder="1" applyAlignment="1">
      <alignment vertical="top" wrapText="1"/>
    </xf>
    <xf numFmtId="0" fontId="1" fillId="0" borderId="8" xfId="0" applyFont="1" applyFill="1" applyBorder="1" applyAlignment="1">
      <alignment vertical="top" wrapText="1"/>
    </xf>
  </cellXfs>
  <cellStyles count="1">
    <cellStyle name="Звичайний" xfId="0" builtinId="0"/>
  </cellStyles>
  <dxfs count="0"/>
  <tableStyles count="0" defaultTableStyle="TableStyleMedium2" defaultPivotStyle="PivotStyleLight16"/>
  <colors>
    <mruColors>
      <color rgb="FFFB63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7"/>
  <sheetViews>
    <sheetView tabSelected="1" view="pageBreakPreview" topLeftCell="A362" zoomScale="140" zoomScaleNormal="140" zoomScaleSheetLayoutView="140" workbookViewId="0">
      <selection activeCell="F377" sqref="F377:H377"/>
    </sheetView>
  </sheetViews>
  <sheetFormatPr defaultColWidth="9.140625" defaultRowHeight="12.75" x14ac:dyDescent="0.2"/>
  <cols>
    <col min="1" max="1" width="15.140625" style="19" customWidth="1"/>
    <col min="2" max="2" width="17.140625" style="19" customWidth="1"/>
    <col min="3" max="3" width="22.7109375" style="19" customWidth="1"/>
    <col min="4" max="4" width="9" style="20" customWidth="1"/>
    <col min="5" max="5" width="18.5703125" style="19" customWidth="1"/>
    <col min="6" max="6" width="12.5703125" style="19" customWidth="1"/>
    <col min="7" max="7" width="10.140625" style="19" customWidth="1"/>
    <col min="8" max="8" width="11.5703125" style="21" customWidth="1"/>
    <col min="9" max="9" width="18.7109375" style="19" customWidth="1"/>
    <col min="10" max="10" width="10" style="22" customWidth="1"/>
    <col min="11" max="11" width="9.7109375" style="22" customWidth="1"/>
    <col min="12" max="16384" width="9.140625" style="6"/>
  </cols>
  <sheetData>
    <row r="1" spans="1:11" x14ac:dyDescent="0.2">
      <c r="K1" s="22" t="s">
        <v>0</v>
      </c>
    </row>
    <row r="2" spans="1:11" ht="15" x14ac:dyDescent="0.2">
      <c r="F2" s="417" t="s">
        <v>152</v>
      </c>
      <c r="G2" s="411"/>
      <c r="H2" s="411"/>
      <c r="I2" s="411"/>
      <c r="J2" s="411"/>
      <c r="K2" s="411"/>
    </row>
    <row r="3" spans="1:11" x14ac:dyDescent="0.2">
      <c r="K3" s="22" t="s">
        <v>147</v>
      </c>
    </row>
    <row r="5" spans="1:11" s="23" customFormat="1" ht="18.75" x14ac:dyDescent="0.3">
      <c r="A5" s="375" t="s">
        <v>1</v>
      </c>
      <c r="B5" s="375"/>
      <c r="C5" s="375"/>
      <c r="D5" s="375"/>
      <c r="E5" s="375"/>
      <c r="F5" s="375"/>
      <c r="G5" s="375"/>
      <c r="H5" s="375"/>
      <c r="I5" s="375"/>
      <c r="J5" s="375"/>
      <c r="K5" s="375"/>
    </row>
    <row r="6" spans="1:11" s="23" customFormat="1" ht="18.75" x14ac:dyDescent="0.3">
      <c r="A6" s="375" t="s">
        <v>2</v>
      </c>
      <c r="B6" s="375"/>
      <c r="C6" s="375"/>
      <c r="D6" s="375"/>
      <c r="E6" s="375"/>
      <c r="F6" s="375"/>
      <c r="G6" s="375"/>
      <c r="H6" s="375"/>
      <c r="I6" s="375"/>
      <c r="J6" s="375"/>
      <c r="K6" s="375"/>
    </row>
    <row r="7" spans="1:11" s="23" customFormat="1" ht="18.75" x14ac:dyDescent="0.3">
      <c r="A7" s="24"/>
      <c r="B7" s="24"/>
      <c r="C7" s="24"/>
      <c r="D7" s="24"/>
      <c r="E7" s="24"/>
      <c r="F7" s="24"/>
      <c r="G7" s="24"/>
      <c r="H7" s="264"/>
      <c r="I7" s="24"/>
      <c r="J7" s="25"/>
      <c r="K7" s="24"/>
    </row>
    <row r="9" spans="1:11" s="26" customFormat="1" ht="34.5" customHeight="1" x14ac:dyDescent="0.2">
      <c r="A9" s="376" t="s">
        <v>3</v>
      </c>
      <c r="B9" s="376" t="s">
        <v>154</v>
      </c>
      <c r="C9" s="376" t="s">
        <v>156</v>
      </c>
      <c r="D9" s="376" t="s">
        <v>4</v>
      </c>
      <c r="E9" s="376" t="s">
        <v>5</v>
      </c>
      <c r="F9" s="376" t="s">
        <v>6</v>
      </c>
      <c r="G9" s="376" t="s">
        <v>7</v>
      </c>
      <c r="H9" s="376"/>
      <c r="I9" s="377" t="s">
        <v>8</v>
      </c>
      <c r="J9" s="377"/>
      <c r="K9" s="377"/>
    </row>
    <row r="10" spans="1:11" s="26" customFormat="1" ht="33" customHeight="1" x14ac:dyDescent="0.2">
      <c r="A10" s="376"/>
      <c r="B10" s="376"/>
      <c r="C10" s="376"/>
      <c r="D10" s="376"/>
      <c r="E10" s="376"/>
      <c r="F10" s="376"/>
      <c r="G10" s="376"/>
      <c r="H10" s="376"/>
      <c r="I10" s="27" t="s">
        <v>9</v>
      </c>
      <c r="J10" s="28" t="s">
        <v>10</v>
      </c>
      <c r="K10" s="28" t="s">
        <v>11</v>
      </c>
    </row>
    <row r="11" spans="1:11" s="26" customFormat="1" ht="15.75" customHeight="1" x14ac:dyDescent="0.2">
      <c r="A11" s="27">
        <v>1</v>
      </c>
      <c r="B11" s="27">
        <v>2</v>
      </c>
      <c r="C11" s="27">
        <v>3</v>
      </c>
      <c r="D11" s="27">
        <v>4</v>
      </c>
      <c r="E11" s="27">
        <v>5</v>
      </c>
      <c r="F11" s="27">
        <v>6</v>
      </c>
      <c r="G11" s="376">
        <v>7</v>
      </c>
      <c r="H11" s="376"/>
      <c r="I11" s="27">
        <v>8</v>
      </c>
      <c r="J11" s="29">
        <v>9</v>
      </c>
      <c r="K11" s="29">
        <v>10</v>
      </c>
    </row>
    <row r="12" spans="1:11" ht="17.25" customHeight="1" x14ac:dyDescent="0.2">
      <c r="A12" s="379" t="s">
        <v>155</v>
      </c>
      <c r="B12" s="379"/>
      <c r="C12" s="379"/>
      <c r="D12" s="379"/>
      <c r="E12" s="379"/>
      <c r="F12" s="379"/>
      <c r="G12" s="380"/>
      <c r="H12" s="380"/>
      <c r="I12" s="379"/>
      <c r="J12" s="379"/>
      <c r="K12" s="379"/>
    </row>
    <row r="13" spans="1:11" ht="41.25" customHeight="1" x14ac:dyDescent="0.2">
      <c r="A13" s="344" t="s">
        <v>12</v>
      </c>
      <c r="B13" s="285" t="s">
        <v>13</v>
      </c>
      <c r="C13" s="373" t="s">
        <v>212</v>
      </c>
      <c r="D13" s="373" t="s">
        <v>14</v>
      </c>
      <c r="E13" s="363" t="s">
        <v>87</v>
      </c>
      <c r="F13" s="364" t="s">
        <v>52</v>
      </c>
      <c r="G13" s="30" t="s">
        <v>15</v>
      </c>
      <c r="H13" s="31">
        <f>SUM(H14:H15)</f>
        <v>768978</v>
      </c>
      <c r="I13" s="32" t="s">
        <v>16</v>
      </c>
      <c r="J13" s="33">
        <f>275375+42100+48998</f>
        <v>366473</v>
      </c>
      <c r="K13" s="33">
        <f>260405+109300+32800</f>
        <v>402505</v>
      </c>
    </row>
    <row r="14" spans="1:11" ht="25.5" x14ac:dyDescent="0.2">
      <c r="A14" s="297"/>
      <c r="B14" s="368"/>
      <c r="C14" s="373"/>
      <c r="D14" s="373"/>
      <c r="E14" s="363"/>
      <c r="F14" s="364"/>
      <c r="G14" s="30" t="s">
        <v>17</v>
      </c>
      <c r="H14" s="31">
        <f>J13</f>
        <v>366473</v>
      </c>
      <c r="I14" s="32" t="s">
        <v>18</v>
      </c>
      <c r="J14" s="34">
        <f>73+29+69</f>
        <v>171</v>
      </c>
      <c r="K14" s="34">
        <f>35+90+40</f>
        <v>165</v>
      </c>
    </row>
    <row r="15" spans="1:11" ht="58.5" customHeight="1" x14ac:dyDescent="0.2">
      <c r="A15" s="297"/>
      <c r="B15" s="368"/>
      <c r="C15" s="373"/>
      <c r="D15" s="373"/>
      <c r="E15" s="363"/>
      <c r="F15" s="364"/>
      <c r="G15" s="30" t="s">
        <v>19</v>
      </c>
      <c r="H15" s="31">
        <f>K13</f>
        <v>402505</v>
      </c>
      <c r="I15" s="32" t="s">
        <v>20</v>
      </c>
      <c r="J15" s="33">
        <f>J13/J14</f>
        <v>2143.1169590643276</v>
      </c>
      <c r="K15" s="33">
        <f>K13/K14</f>
        <v>2439.4242424242425</v>
      </c>
    </row>
    <row r="16" spans="1:11" ht="120.75" customHeight="1" x14ac:dyDescent="0.2">
      <c r="A16" s="17"/>
      <c r="B16" s="18"/>
      <c r="C16" s="373"/>
      <c r="D16" s="373"/>
      <c r="E16" s="363"/>
      <c r="F16" s="364"/>
      <c r="G16" s="35"/>
      <c r="H16" s="36"/>
      <c r="I16" s="37" t="s">
        <v>252</v>
      </c>
      <c r="J16" s="33">
        <v>100</v>
      </c>
      <c r="K16" s="33">
        <v>100</v>
      </c>
    </row>
    <row r="17" spans="1:11" ht="41.25" customHeight="1" x14ac:dyDescent="0.2">
      <c r="A17" s="38"/>
      <c r="B17" s="286" t="s">
        <v>21</v>
      </c>
      <c r="C17" s="319" t="s">
        <v>157</v>
      </c>
      <c r="D17" s="319" t="s">
        <v>14</v>
      </c>
      <c r="E17" s="319" t="s">
        <v>87</v>
      </c>
      <c r="F17" s="371" t="s">
        <v>52</v>
      </c>
      <c r="G17" s="30" t="s">
        <v>15</v>
      </c>
      <c r="H17" s="31">
        <f>SUM(H18:H19)</f>
        <v>415547.9</v>
      </c>
      <c r="I17" s="32" t="s">
        <v>16</v>
      </c>
      <c r="J17" s="33">
        <f>37000+12091.9+183800</f>
        <v>232891.9</v>
      </c>
      <c r="K17" s="33">
        <f>55054.9+13301.1+114300</f>
        <v>182656</v>
      </c>
    </row>
    <row r="18" spans="1:11" ht="25.5" x14ac:dyDescent="0.2">
      <c r="A18" s="38"/>
      <c r="B18" s="297"/>
      <c r="C18" s="319"/>
      <c r="D18" s="319"/>
      <c r="E18" s="319"/>
      <c r="F18" s="371"/>
      <c r="G18" s="30" t="s">
        <v>17</v>
      </c>
      <c r="H18" s="31">
        <f>J17</f>
        <v>232891.9</v>
      </c>
      <c r="I18" s="32" t="s">
        <v>18</v>
      </c>
      <c r="J18" s="34">
        <f>24+11+66</f>
        <v>101</v>
      </c>
      <c r="K18" s="34">
        <f>47+11+39</f>
        <v>97</v>
      </c>
    </row>
    <row r="19" spans="1:11" ht="38.25" x14ac:dyDescent="0.2">
      <c r="A19" s="38"/>
      <c r="B19" s="39"/>
      <c r="C19" s="319"/>
      <c r="D19" s="319"/>
      <c r="E19" s="319"/>
      <c r="F19" s="371"/>
      <c r="G19" s="30" t="s">
        <v>19</v>
      </c>
      <c r="H19" s="31">
        <f>K17</f>
        <v>182656</v>
      </c>
      <c r="I19" s="32" t="s">
        <v>20</v>
      </c>
      <c r="J19" s="33">
        <f>J17/J18</f>
        <v>2305.860396039604</v>
      </c>
      <c r="K19" s="33">
        <f>K17/K18</f>
        <v>1883.0515463917525</v>
      </c>
    </row>
    <row r="20" spans="1:11" ht="51" x14ac:dyDescent="0.2">
      <c r="A20" s="38"/>
      <c r="B20" s="39"/>
      <c r="C20" s="319"/>
      <c r="D20" s="319"/>
      <c r="E20" s="319"/>
      <c r="F20" s="371"/>
      <c r="G20" s="35"/>
      <c r="H20" s="36"/>
      <c r="I20" s="40" t="s">
        <v>250</v>
      </c>
      <c r="J20" s="33">
        <v>100</v>
      </c>
      <c r="K20" s="33">
        <v>100</v>
      </c>
    </row>
    <row r="21" spans="1:11" ht="41.25" customHeight="1" x14ac:dyDescent="0.2">
      <c r="A21" s="17"/>
      <c r="B21" s="285" t="s">
        <v>22</v>
      </c>
      <c r="C21" s="319" t="s">
        <v>213</v>
      </c>
      <c r="D21" s="319" t="s">
        <v>14</v>
      </c>
      <c r="E21" s="319" t="s">
        <v>89</v>
      </c>
      <c r="F21" s="371" t="s">
        <v>52</v>
      </c>
      <c r="G21" s="30" t="s">
        <v>15</v>
      </c>
      <c r="H21" s="31">
        <f>SUM(H22:H23)</f>
        <v>338460</v>
      </c>
      <c r="I21" s="32" t="s">
        <v>16</v>
      </c>
      <c r="J21" s="33">
        <f>2300+31150+24100+71150</f>
        <v>128700</v>
      </c>
      <c r="K21" s="33">
        <f>13940+90800+59520+45500</f>
        <v>209760</v>
      </c>
    </row>
    <row r="22" spans="1:11" ht="31.5" customHeight="1" x14ac:dyDescent="0.2">
      <c r="A22" s="17"/>
      <c r="B22" s="368"/>
      <c r="C22" s="370"/>
      <c r="D22" s="319"/>
      <c r="E22" s="319"/>
      <c r="F22" s="371"/>
      <c r="G22" s="30" t="s">
        <v>17</v>
      </c>
      <c r="H22" s="31">
        <f>J21</f>
        <v>128700</v>
      </c>
      <c r="I22" s="32" t="s">
        <v>18</v>
      </c>
      <c r="J22" s="34">
        <f>6+65+40+99</f>
        <v>210</v>
      </c>
      <c r="K22" s="34">
        <f>66+39+99+81</f>
        <v>285</v>
      </c>
    </row>
    <row r="23" spans="1:11" ht="38.25" x14ac:dyDescent="0.2">
      <c r="A23" s="17"/>
      <c r="B23" s="368"/>
      <c r="C23" s="370"/>
      <c r="D23" s="319"/>
      <c r="E23" s="319"/>
      <c r="F23" s="371"/>
      <c r="G23" s="30" t="s">
        <v>19</v>
      </c>
      <c r="H23" s="31">
        <f>K21</f>
        <v>209760</v>
      </c>
      <c r="I23" s="32" t="s">
        <v>20</v>
      </c>
      <c r="J23" s="33">
        <f>J21/J22</f>
        <v>612.85714285714289</v>
      </c>
      <c r="K23" s="33">
        <f>K21/K22</f>
        <v>736</v>
      </c>
    </row>
    <row r="24" spans="1:11" ht="106.5" customHeight="1" x14ac:dyDescent="0.2">
      <c r="A24" s="17"/>
      <c r="B24" s="18"/>
      <c r="C24" s="370"/>
      <c r="D24" s="285"/>
      <c r="E24" s="285"/>
      <c r="F24" s="372"/>
      <c r="G24" s="30"/>
      <c r="H24" s="31"/>
      <c r="I24" s="41" t="s">
        <v>251</v>
      </c>
      <c r="J24" s="33">
        <v>100</v>
      </c>
      <c r="K24" s="33">
        <v>100</v>
      </c>
    </row>
    <row r="25" spans="1:11" ht="40.5" customHeight="1" x14ac:dyDescent="0.2">
      <c r="A25" s="38"/>
      <c r="B25" s="319" t="s">
        <v>23</v>
      </c>
      <c r="C25" s="372" t="s">
        <v>214</v>
      </c>
      <c r="D25" s="285" t="s">
        <v>14</v>
      </c>
      <c r="E25" s="285" t="s">
        <v>357</v>
      </c>
      <c r="F25" s="285" t="s">
        <v>52</v>
      </c>
      <c r="G25" s="42" t="s">
        <v>15</v>
      </c>
      <c r="H25" s="31">
        <f>SUM(H26:H27)</f>
        <v>850993.5</v>
      </c>
      <c r="I25" s="43" t="s">
        <v>16</v>
      </c>
      <c r="J25" s="33">
        <f>127000+113647.7+100000+13800+1500</f>
        <v>355947.7</v>
      </c>
      <c r="K25" s="33">
        <f>85000+113750+76295.8+200000+20000</f>
        <v>495045.8</v>
      </c>
    </row>
    <row r="26" spans="1:11" ht="25.5" x14ac:dyDescent="0.2">
      <c r="A26" s="38"/>
      <c r="B26" s="319"/>
      <c r="C26" s="374"/>
      <c r="D26" s="368"/>
      <c r="E26" s="368"/>
      <c r="F26" s="368"/>
      <c r="G26" s="42" t="s">
        <v>17</v>
      </c>
      <c r="H26" s="31">
        <f>J25</f>
        <v>355947.7</v>
      </c>
      <c r="I26" s="43" t="s">
        <v>18</v>
      </c>
      <c r="J26" s="34">
        <f>4+1</f>
        <v>5</v>
      </c>
      <c r="K26" s="34">
        <f>4+1</f>
        <v>5</v>
      </c>
    </row>
    <row r="27" spans="1:11" ht="38.25" x14ac:dyDescent="0.2">
      <c r="A27" s="38"/>
      <c r="B27" s="319"/>
      <c r="C27" s="374"/>
      <c r="D27" s="368"/>
      <c r="E27" s="368"/>
      <c r="F27" s="368"/>
      <c r="G27" s="42" t="s">
        <v>19</v>
      </c>
      <c r="H27" s="31">
        <f>K25</f>
        <v>495045.8</v>
      </c>
      <c r="I27" s="43" t="s">
        <v>20</v>
      </c>
      <c r="J27" s="33">
        <f>J25/J26</f>
        <v>71189.540000000008</v>
      </c>
      <c r="K27" s="33">
        <f>K25/K26</f>
        <v>99009.16</v>
      </c>
    </row>
    <row r="28" spans="1:11" ht="138" customHeight="1" x14ac:dyDescent="0.2">
      <c r="A28" s="38"/>
      <c r="B28" s="319"/>
      <c r="C28" s="44"/>
      <c r="D28" s="45"/>
      <c r="E28" s="302"/>
      <c r="F28" s="45"/>
      <c r="G28" s="46"/>
      <c r="H28" s="36"/>
      <c r="I28" s="43" t="s">
        <v>231</v>
      </c>
      <c r="J28" s="33">
        <v>100</v>
      </c>
      <c r="K28" s="33">
        <v>100</v>
      </c>
    </row>
    <row r="29" spans="1:11" ht="40.15" customHeight="1" x14ac:dyDescent="0.2">
      <c r="A29" s="17"/>
      <c r="B29" s="18"/>
      <c r="C29" s="319" t="s">
        <v>271</v>
      </c>
      <c r="D29" s="319" t="s">
        <v>14</v>
      </c>
      <c r="E29" s="319" t="s">
        <v>87</v>
      </c>
      <c r="F29" s="371" t="s">
        <v>52</v>
      </c>
      <c r="G29" s="30" t="s">
        <v>15</v>
      </c>
      <c r="H29" s="31">
        <f>SUM(H30:H31)</f>
        <v>1356521.4</v>
      </c>
      <c r="I29" s="32" t="s">
        <v>16</v>
      </c>
      <c r="J29" s="33">
        <f>173902.5+462310.5+5368+4381.5</f>
        <v>645962.5</v>
      </c>
      <c r="K29" s="33">
        <f>191292.8+508541.6+5904.8+4819.7</f>
        <v>710558.89999999991</v>
      </c>
    </row>
    <row r="30" spans="1:11" ht="25.5" x14ac:dyDescent="0.2">
      <c r="A30" s="17"/>
      <c r="B30" s="18"/>
      <c r="C30" s="370"/>
      <c r="D30" s="319"/>
      <c r="E30" s="319"/>
      <c r="F30" s="371"/>
      <c r="G30" s="30" t="s">
        <v>17</v>
      </c>
      <c r="H30" s="31">
        <f>J29</f>
        <v>645962.5</v>
      </c>
      <c r="I30" s="32" t="s">
        <v>18</v>
      </c>
      <c r="J30" s="34">
        <f>70+185+2+2</f>
        <v>259</v>
      </c>
      <c r="K30" s="34">
        <f>77+203+2+2</f>
        <v>284</v>
      </c>
    </row>
    <row r="31" spans="1:11" ht="38.25" x14ac:dyDescent="0.2">
      <c r="A31" s="17"/>
      <c r="B31" s="18"/>
      <c r="C31" s="370"/>
      <c r="D31" s="319"/>
      <c r="E31" s="319"/>
      <c r="F31" s="371"/>
      <c r="G31" s="30" t="s">
        <v>19</v>
      </c>
      <c r="H31" s="31">
        <f>K29</f>
        <v>710558.89999999991</v>
      </c>
      <c r="I31" s="32" t="s">
        <v>20</v>
      </c>
      <c r="J31" s="33">
        <f>J29/J30</f>
        <v>2494.0637065637065</v>
      </c>
      <c r="K31" s="33">
        <f>K29/K30</f>
        <v>2501.9679577464785</v>
      </c>
    </row>
    <row r="32" spans="1:11" ht="93" customHeight="1" x14ac:dyDescent="0.2">
      <c r="A32" s="17"/>
      <c r="B32" s="18"/>
      <c r="C32" s="370"/>
      <c r="D32" s="285"/>
      <c r="E32" s="285"/>
      <c r="F32" s="372"/>
      <c r="G32" s="30"/>
      <c r="H32" s="31"/>
      <c r="I32" s="47" t="s">
        <v>254</v>
      </c>
      <c r="J32" s="33">
        <v>100</v>
      </c>
      <c r="K32" s="33">
        <f>K30/J30*100</f>
        <v>109.65250965250965</v>
      </c>
    </row>
    <row r="33" spans="1:11" ht="47.25" customHeight="1" x14ac:dyDescent="0.2">
      <c r="A33" s="17"/>
      <c r="B33" s="18"/>
      <c r="C33" s="319" t="s">
        <v>272</v>
      </c>
      <c r="D33" s="319" t="s">
        <v>14</v>
      </c>
      <c r="E33" s="319" t="s">
        <v>90</v>
      </c>
      <c r="F33" s="371" t="s">
        <v>52</v>
      </c>
      <c r="G33" s="30" t="s">
        <v>15</v>
      </c>
      <c r="H33" s="31">
        <f>SUM(H34:H35)</f>
        <v>233135.7</v>
      </c>
      <c r="I33" s="32" t="s">
        <v>16</v>
      </c>
      <c r="J33" s="33">
        <f>41670.5+23269+37833</f>
        <v>102772.5</v>
      </c>
      <c r="K33" s="33">
        <f>45820.2+28606+55937</f>
        <v>130363.2</v>
      </c>
    </row>
    <row r="34" spans="1:11" ht="94.5" customHeight="1" x14ac:dyDescent="0.2">
      <c r="A34" s="17"/>
      <c r="B34" s="18"/>
      <c r="C34" s="370"/>
      <c r="D34" s="319"/>
      <c r="E34" s="319"/>
      <c r="F34" s="371"/>
      <c r="G34" s="30" t="s">
        <v>17</v>
      </c>
      <c r="H34" s="31">
        <f>J33</f>
        <v>102772.5</v>
      </c>
      <c r="I34" s="32" t="s">
        <v>253</v>
      </c>
      <c r="J34" s="34">
        <f>ROUND(J33/2500,0)</f>
        <v>41</v>
      </c>
      <c r="K34" s="34">
        <f>ROUND(K33/2500,0)</f>
        <v>52</v>
      </c>
    </row>
    <row r="35" spans="1:11" ht="38.25" x14ac:dyDescent="0.2">
      <c r="A35" s="17"/>
      <c r="B35" s="18"/>
      <c r="C35" s="370"/>
      <c r="D35" s="319"/>
      <c r="E35" s="319"/>
      <c r="F35" s="371"/>
      <c r="G35" s="30" t="s">
        <v>19</v>
      </c>
      <c r="H35" s="31">
        <f>K33</f>
        <v>130363.2</v>
      </c>
      <c r="I35" s="32" t="s">
        <v>20</v>
      </c>
      <c r="J35" s="33">
        <f>J33/J34</f>
        <v>2506.6463414634145</v>
      </c>
      <c r="K35" s="33">
        <f>K33/K34</f>
        <v>2506.9846153846152</v>
      </c>
    </row>
    <row r="36" spans="1:11" ht="138.75" customHeight="1" x14ac:dyDescent="0.2">
      <c r="A36" s="17"/>
      <c r="B36" s="18"/>
      <c r="C36" s="370"/>
      <c r="D36" s="285"/>
      <c r="E36" s="285"/>
      <c r="F36" s="372"/>
      <c r="G36" s="30"/>
      <c r="H36" s="31"/>
      <c r="I36" s="41" t="s">
        <v>158</v>
      </c>
      <c r="J36" s="33">
        <v>100</v>
      </c>
      <c r="K36" s="33">
        <f>K34/J34*100</f>
        <v>126.82926829268293</v>
      </c>
    </row>
    <row r="37" spans="1:11" ht="38.25" x14ac:dyDescent="0.2">
      <c r="A37" s="17"/>
      <c r="B37" s="18"/>
      <c r="C37" s="319" t="s">
        <v>273</v>
      </c>
      <c r="D37" s="319" t="s">
        <v>14</v>
      </c>
      <c r="E37" s="319" t="s">
        <v>143</v>
      </c>
      <c r="F37" s="371" t="s">
        <v>52</v>
      </c>
      <c r="G37" s="30" t="s">
        <v>15</v>
      </c>
      <c r="H37" s="31">
        <f>SUM(H38:H39)</f>
        <v>34557.300000000003</v>
      </c>
      <c r="I37" s="32" t="s">
        <v>16</v>
      </c>
      <c r="J37" s="33">
        <v>16463.7</v>
      </c>
      <c r="K37" s="33">
        <v>18093.599999999999</v>
      </c>
    </row>
    <row r="38" spans="1:11" ht="25.5" x14ac:dyDescent="0.2">
      <c r="A38" s="17"/>
      <c r="B38" s="18"/>
      <c r="C38" s="370"/>
      <c r="D38" s="319"/>
      <c r="E38" s="319"/>
      <c r="F38" s="371"/>
      <c r="G38" s="30" t="s">
        <v>17</v>
      </c>
      <c r="H38" s="31">
        <f>J37</f>
        <v>16463.7</v>
      </c>
      <c r="I38" s="32" t="s">
        <v>18</v>
      </c>
      <c r="J38" s="34">
        <v>6</v>
      </c>
      <c r="K38" s="34">
        <v>6</v>
      </c>
    </row>
    <row r="39" spans="1:11" ht="38.25" x14ac:dyDescent="0.2">
      <c r="A39" s="17"/>
      <c r="B39" s="18"/>
      <c r="C39" s="370"/>
      <c r="D39" s="319"/>
      <c r="E39" s="319"/>
      <c r="F39" s="371"/>
      <c r="G39" s="30" t="s">
        <v>19</v>
      </c>
      <c r="H39" s="31">
        <f>K37</f>
        <v>18093.599999999999</v>
      </c>
      <c r="I39" s="32" t="s">
        <v>20</v>
      </c>
      <c r="J39" s="33">
        <f>J37/J38</f>
        <v>2743.9500000000003</v>
      </c>
      <c r="K39" s="33">
        <f>K37/K38</f>
        <v>3015.6</v>
      </c>
    </row>
    <row r="40" spans="1:11" ht="101.25" customHeight="1" x14ac:dyDescent="0.2">
      <c r="A40" s="17"/>
      <c r="B40" s="18"/>
      <c r="C40" s="370"/>
      <c r="D40" s="285"/>
      <c r="E40" s="285"/>
      <c r="F40" s="372"/>
      <c r="G40" s="30"/>
      <c r="H40" s="31"/>
      <c r="I40" s="47" t="s">
        <v>232</v>
      </c>
      <c r="J40" s="33">
        <v>100</v>
      </c>
      <c r="K40" s="33">
        <v>100</v>
      </c>
    </row>
    <row r="41" spans="1:11" ht="46.5" customHeight="1" x14ac:dyDescent="0.2">
      <c r="A41" s="17"/>
      <c r="B41" s="18"/>
      <c r="C41" s="277" t="s">
        <v>274</v>
      </c>
      <c r="D41" s="319" t="s">
        <v>14</v>
      </c>
      <c r="E41" s="319" t="s">
        <v>255</v>
      </c>
      <c r="F41" s="371" t="s">
        <v>52</v>
      </c>
      <c r="G41" s="30" t="s">
        <v>15</v>
      </c>
      <c r="H41" s="31">
        <f>SUM(H42:H43)</f>
        <v>100753.1</v>
      </c>
      <c r="I41" s="32" t="s">
        <v>16</v>
      </c>
      <c r="J41" s="33">
        <f>14000+28225.7</f>
        <v>42225.7</v>
      </c>
      <c r="K41" s="33">
        <f>15386+43141.4</f>
        <v>58527.4</v>
      </c>
    </row>
    <row r="42" spans="1:11" ht="46.5" customHeight="1" x14ac:dyDescent="0.2">
      <c r="A42" s="17"/>
      <c r="B42" s="18"/>
      <c r="C42" s="378"/>
      <c r="D42" s="319"/>
      <c r="E42" s="319"/>
      <c r="F42" s="371"/>
      <c r="G42" s="30" t="s">
        <v>17</v>
      </c>
      <c r="H42" s="31">
        <f>J41</f>
        <v>42225.7</v>
      </c>
      <c r="I42" s="32" t="s">
        <v>18</v>
      </c>
      <c r="J42" s="8">
        <f>14+20</f>
        <v>34</v>
      </c>
      <c r="K42" s="8">
        <f>14+20</f>
        <v>34</v>
      </c>
    </row>
    <row r="43" spans="1:11" ht="51" customHeight="1" x14ac:dyDescent="0.2">
      <c r="A43" s="17"/>
      <c r="B43" s="18"/>
      <c r="C43" s="378"/>
      <c r="D43" s="319"/>
      <c r="E43" s="319"/>
      <c r="F43" s="371"/>
      <c r="G43" s="30" t="s">
        <v>19</v>
      </c>
      <c r="H43" s="31">
        <f>K41</f>
        <v>58527.4</v>
      </c>
      <c r="I43" s="32" t="s">
        <v>20</v>
      </c>
      <c r="J43" s="33">
        <f>J41/J42</f>
        <v>1241.9323529411763</v>
      </c>
      <c r="K43" s="33">
        <f>K41/K42</f>
        <v>1721.3941176470589</v>
      </c>
    </row>
    <row r="44" spans="1:11" ht="82.5" customHeight="1" x14ac:dyDescent="0.2">
      <c r="A44" s="17"/>
      <c r="B44" s="18"/>
      <c r="C44" s="378"/>
      <c r="D44" s="285"/>
      <c r="E44" s="285"/>
      <c r="F44" s="372"/>
      <c r="G44" s="30"/>
      <c r="H44" s="31"/>
      <c r="I44" s="47" t="s">
        <v>256</v>
      </c>
      <c r="J44" s="33">
        <v>100</v>
      </c>
      <c r="K44" s="33">
        <v>100</v>
      </c>
    </row>
    <row r="45" spans="1:11" ht="51" customHeight="1" x14ac:dyDescent="0.2">
      <c r="A45" s="17"/>
      <c r="B45" s="18"/>
      <c r="C45" s="373" t="s">
        <v>322</v>
      </c>
      <c r="D45" s="294" t="s">
        <v>14</v>
      </c>
      <c r="E45" s="288" t="s">
        <v>257</v>
      </c>
      <c r="F45" s="294" t="s">
        <v>52</v>
      </c>
      <c r="G45" s="2" t="s">
        <v>15</v>
      </c>
      <c r="H45" s="3">
        <f>SUM(H46:H47)</f>
        <v>93159.5</v>
      </c>
      <c r="I45" s="4" t="s">
        <v>53</v>
      </c>
      <c r="J45" s="48">
        <f>24362+19489.6-1218.1</f>
        <v>42633.5</v>
      </c>
      <c r="K45" s="48">
        <f>28872+21654</f>
        <v>50526</v>
      </c>
    </row>
    <row r="46" spans="1:11" ht="63.75" x14ac:dyDescent="0.2">
      <c r="A46" s="17"/>
      <c r="B46" s="18"/>
      <c r="C46" s="373"/>
      <c r="D46" s="294"/>
      <c r="E46" s="289"/>
      <c r="F46" s="294"/>
      <c r="G46" s="2" t="s">
        <v>17</v>
      </c>
      <c r="H46" s="3">
        <f>J45</f>
        <v>42633.5</v>
      </c>
      <c r="I46" s="4" t="s">
        <v>58</v>
      </c>
      <c r="J46" s="8">
        <v>35</v>
      </c>
      <c r="K46" s="8">
        <f>20+15</f>
        <v>35</v>
      </c>
    </row>
    <row r="47" spans="1:11" ht="38.25" x14ac:dyDescent="0.2">
      <c r="A47" s="17"/>
      <c r="B47" s="18"/>
      <c r="C47" s="373"/>
      <c r="D47" s="294"/>
      <c r="E47" s="289"/>
      <c r="F47" s="294"/>
      <c r="G47" s="2" t="s">
        <v>19</v>
      </c>
      <c r="H47" s="9">
        <f>K45</f>
        <v>50526</v>
      </c>
      <c r="I47" s="49" t="s">
        <v>59</v>
      </c>
      <c r="J47" s="48">
        <f>J45/J46</f>
        <v>1218.0999999999999</v>
      </c>
      <c r="K47" s="48">
        <f>K45/K46</f>
        <v>1443.6</v>
      </c>
    </row>
    <row r="48" spans="1:11" ht="153.75" customHeight="1" x14ac:dyDescent="0.2">
      <c r="A48" s="17"/>
      <c r="B48" s="18"/>
      <c r="C48" s="373"/>
      <c r="D48" s="294"/>
      <c r="E48" s="293"/>
      <c r="F48" s="312"/>
      <c r="G48" s="50"/>
      <c r="H48" s="51"/>
      <c r="I48" s="52" t="s">
        <v>353</v>
      </c>
      <c r="J48" s="48">
        <v>100</v>
      </c>
      <c r="K48" s="48">
        <v>100</v>
      </c>
    </row>
    <row r="49" spans="1:11" ht="38.25" x14ac:dyDescent="0.2">
      <c r="A49" s="17"/>
      <c r="B49" s="277"/>
      <c r="C49" s="295" t="s">
        <v>275</v>
      </c>
      <c r="D49" s="295" t="s">
        <v>14</v>
      </c>
      <c r="E49" s="295" t="s">
        <v>127</v>
      </c>
      <c r="F49" s="273" t="s">
        <v>52</v>
      </c>
      <c r="G49" s="2" t="s">
        <v>15</v>
      </c>
      <c r="H49" s="3">
        <f>SUM(H50:H51)</f>
        <v>438000</v>
      </c>
      <c r="I49" s="4" t="s">
        <v>42</v>
      </c>
      <c r="J49" s="13">
        <v>183000</v>
      </c>
      <c r="K49" s="13">
        <v>255000</v>
      </c>
    </row>
    <row r="50" spans="1:11" ht="38.25" x14ac:dyDescent="0.2">
      <c r="A50" s="17"/>
      <c r="B50" s="272"/>
      <c r="C50" s="295"/>
      <c r="D50" s="295"/>
      <c r="E50" s="295"/>
      <c r="F50" s="274"/>
      <c r="G50" s="2" t="s">
        <v>17</v>
      </c>
      <c r="H50" s="3">
        <f>J49</f>
        <v>183000</v>
      </c>
      <c r="I50" s="4" t="s">
        <v>43</v>
      </c>
      <c r="J50" s="53">
        <v>4</v>
      </c>
      <c r="K50" s="53">
        <v>3</v>
      </c>
    </row>
    <row r="51" spans="1:11" ht="76.5" x14ac:dyDescent="0.2">
      <c r="A51" s="17"/>
      <c r="C51" s="295"/>
      <c r="D51" s="295"/>
      <c r="E51" s="295"/>
      <c r="F51" s="274"/>
      <c r="G51" s="2" t="s">
        <v>19</v>
      </c>
      <c r="H51" s="9">
        <f>K49</f>
        <v>255000</v>
      </c>
      <c r="I51" s="4" t="s">
        <v>44</v>
      </c>
      <c r="J51" s="13">
        <f>J49/J50</f>
        <v>45750</v>
      </c>
      <c r="K51" s="13">
        <f>K49/K50</f>
        <v>85000</v>
      </c>
    </row>
    <row r="52" spans="1:11" ht="84.75" customHeight="1" x14ac:dyDescent="0.2">
      <c r="A52" s="17"/>
      <c r="B52" s="54"/>
      <c r="C52" s="295"/>
      <c r="D52" s="295"/>
      <c r="E52" s="295"/>
      <c r="F52" s="274"/>
      <c r="G52" s="50"/>
      <c r="H52" s="51"/>
      <c r="I52" s="55" t="s">
        <v>233</v>
      </c>
      <c r="J52" s="48">
        <v>100</v>
      </c>
      <c r="K52" s="48">
        <v>100</v>
      </c>
    </row>
    <row r="53" spans="1:11" ht="38.25" x14ac:dyDescent="0.2">
      <c r="A53" s="17"/>
      <c r="B53" s="381"/>
      <c r="C53" s="295" t="s">
        <v>276</v>
      </c>
      <c r="D53" s="295" t="s">
        <v>14</v>
      </c>
      <c r="E53" s="295" t="s">
        <v>127</v>
      </c>
      <c r="F53" s="273" t="s">
        <v>52</v>
      </c>
      <c r="G53" s="2" t="s">
        <v>15</v>
      </c>
      <c r="H53" s="3">
        <f>SUM(H54:H55)</f>
        <v>98820.1</v>
      </c>
      <c r="I53" s="4" t="s">
        <v>42</v>
      </c>
      <c r="J53" s="13">
        <v>67559.100000000006</v>
      </c>
      <c r="K53" s="13">
        <v>31261</v>
      </c>
    </row>
    <row r="54" spans="1:11" ht="51" x14ac:dyDescent="0.2">
      <c r="A54" s="17"/>
      <c r="B54" s="381"/>
      <c r="C54" s="295"/>
      <c r="D54" s="295"/>
      <c r="E54" s="295"/>
      <c r="F54" s="274"/>
      <c r="G54" s="2" t="s">
        <v>17</v>
      </c>
      <c r="H54" s="3">
        <f>J53</f>
        <v>67559.100000000006</v>
      </c>
      <c r="I54" s="4" t="s">
        <v>45</v>
      </c>
      <c r="J54" s="53">
        <v>20</v>
      </c>
      <c r="K54" s="53">
        <v>20</v>
      </c>
    </row>
    <row r="55" spans="1:11" ht="51" x14ac:dyDescent="0.2">
      <c r="A55" s="17"/>
      <c r="B55" s="381"/>
      <c r="C55" s="295"/>
      <c r="D55" s="295"/>
      <c r="E55" s="295"/>
      <c r="F55" s="274"/>
      <c r="G55" s="2" t="s">
        <v>19</v>
      </c>
      <c r="H55" s="9">
        <f>K53</f>
        <v>31261</v>
      </c>
      <c r="I55" s="4" t="s">
        <v>46</v>
      </c>
      <c r="J55" s="13">
        <f>J53/J54</f>
        <v>3377.9550000000004</v>
      </c>
      <c r="K55" s="13">
        <f>K53/K54</f>
        <v>1563.05</v>
      </c>
    </row>
    <row r="56" spans="1:11" ht="81.75" customHeight="1" x14ac:dyDescent="0.2">
      <c r="A56" s="17"/>
      <c r="B56" s="381"/>
      <c r="C56" s="295"/>
      <c r="D56" s="295"/>
      <c r="E56" s="295"/>
      <c r="F56" s="275"/>
      <c r="G56" s="50"/>
      <c r="H56" s="51"/>
      <c r="I56" s="55" t="s">
        <v>234</v>
      </c>
      <c r="J56" s="48">
        <v>100</v>
      </c>
      <c r="K56" s="48">
        <v>100</v>
      </c>
    </row>
    <row r="57" spans="1:11" ht="38.25" customHeight="1" x14ac:dyDescent="0.2">
      <c r="A57" s="17"/>
      <c r="B57" s="56"/>
      <c r="C57" s="319" t="s">
        <v>378</v>
      </c>
      <c r="D57" s="324" t="s">
        <v>14</v>
      </c>
      <c r="E57" s="295" t="s">
        <v>230</v>
      </c>
      <c r="F57" s="418" t="s">
        <v>52</v>
      </c>
      <c r="G57" s="2" t="s">
        <v>15</v>
      </c>
      <c r="H57" s="3">
        <f>SUM(H58:H59)</f>
        <v>24300</v>
      </c>
      <c r="I57" s="57" t="s">
        <v>47</v>
      </c>
      <c r="J57" s="33">
        <f>14500-1500</f>
        <v>13000</v>
      </c>
      <c r="K57" s="33">
        <f>31300-20000</f>
        <v>11300</v>
      </c>
    </row>
    <row r="58" spans="1:11" ht="25.5" x14ac:dyDescent="0.2">
      <c r="A58" s="17"/>
      <c r="B58" s="56"/>
      <c r="C58" s="370"/>
      <c r="D58" s="324"/>
      <c r="E58" s="295"/>
      <c r="F58" s="418"/>
      <c r="G58" s="2" t="s">
        <v>17</v>
      </c>
      <c r="H58" s="3">
        <f>J57</f>
        <v>13000</v>
      </c>
      <c r="I58" s="57" t="s">
        <v>48</v>
      </c>
      <c r="J58" s="34">
        <v>2</v>
      </c>
      <c r="K58" s="34">
        <v>2</v>
      </c>
    </row>
    <row r="59" spans="1:11" ht="38.25" x14ac:dyDescent="0.2">
      <c r="A59" s="17"/>
      <c r="B59" s="56"/>
      <c r="C59" s="370"/>
      <c r="D59" s="324"/>
      <c r="E59" s="295"/>
      <c r="F59" s="418"/>
      <c r="G59" s="2" t="s">
        <v>19</v>
      </c>
      <c r="H59" s="3">
        <f>K57</f>
        <v>11300</v>
      </c>
      <c r="I59" s="57" t="s">
        <v>49</v>
      </c>
      <c r="J59" s="33">
        <f>J57/J58</f>
        <v>6500</v>
      </c>
      <c r="K59" s="33">
        <f>K57/K58</f>
        <v>5650</v>
      </c>
    </row>
    <row r="60" spans="1:11" ht="51.75" customHeight="1" x14ac:dyDescent="0.2">
      <c r="A60" s="17"/>
      <c r="B60" s="56"/>
      <c r="C60" s="370"/>
      <c r="D60" s="344"/>
      <c r="E60" s="273"/>
      <c r="F60" s="419"/>
      <c r="G60" s="2"/>
      <c r="H60" s="3"/>
      <c r="I60" s="58" t="s">
        <v>235</v>
      </c>
      <c r="J60" s="33">
        <v>85</v>
      </c>
      <c r="K60" s="33">
        <v>100</v>
      </c>
    </row>
    <row r="61" spans="1:11" ht="17.45" customHeight="1" x14ac:dyDescent="0.2">
      <c r="A61" s="17"/>
      <c r="B61" s="390" t="s">
        <v>88</v>
      </c>
      <c r="C61" s="391"/>
      <c r="D61" s="391"/>
      <c r="E61" s="391"/>
      <c r="F61" s="392"/>
      <c r="G61" s="59" t="s">
        <v>15</v>
      </c>
      <c r="H61" s="60">
        <f>SUM(H62:H63)</f>
        <v>4753226.5</v>
      </c>
      <c r="I61" s="385"/>
      <c r="J61" s="386"/>
      <c r="K61" s="387"/>
    </row>
    <row r="62" spans="1:11" ht="23.25" customHeight="1" x14ac:dyDescent="0.2">
      <c r="A62" s="17"/>
      <c r="B62" s="393"/>
      <c r="C62" s="394"/>
      <c r="D62" s="394"/>
      <c r="E62" s="394"/>
      <c r="F62" s="395"/>
      <c r="G62" s="61" t="s">
        <v>17</v>
      </c>
      <c r="H62" s="62">
        <f>H14+H18+H22+H26+H30+H34+H38+H42+H46+H50+H54+H58</f>
        <v>2197629.6</v>
      </c>
      <c r="I62" s="388"/>
      <c r="J62" s="388"/>
      <c r="K62" s="389"/>
    </row>
    <row r="63" spans="1:11" ht="35.25" customHeight="1" x14ac:dyDescent="0.2">
      <c r="A63" s="17"/>
      <c r="B63" s="396"/>
      <c r="C63" s="397"/>
      <c r="D63" s="397"/>
      <c r="E63" s="397"/>
      <c r="F63" s="398"/>
      <c r="G63" s="61" t="s">
        <v>19</v>
      </c>
      <c r="H63" s="62">
        <f>H15+H19+H23+H27+H31+H35+H39+H43+H47+H51+H55+H59</f>
        <v>2555596.9</v>
      </c>
      <c r="I63" s="385"/>
      <c r="J63" s="386"/>
      <c r="K63" s="387"/>
    </row>
    <row r="64" spans="1:11" ht="39.75" customHeight="1" x14ac:dyDescent="0.2">
      <c r="A64" s="63"/>
      <c r="B64" s="64"/>
      <c r="C64" s="64"/>
      <c r="D64" s="64"/>
      <c r="E64" s="64"/>
      <c r="F64" s="64"/>
      <c r="G64" s="65" t="s">
        <v>52</v>
      </c>
      <c r="H64" s="3">
        <f>H61</f>
        <v>4753226.5</v>
      </c>
      <c r="I64" s="66"/>
      <c r="J64" s="66"/>
      <c r="K64" s="66"/>
    </row>
    <row r="65" spans="1:11" ht="23.25" customHeight="1" x14ac:dyDescent="0.2">
      <c r="A65" s="63"/>
      <c r="B65" s="64"/>
      <c r="C65" s="64"/>
      <c r="D65" s="64"/>
      <c r="E65" s="64"/>
      <c r="F65" s="64"/>
      <c r="G65" s="67" t="s">
        <v>17</v>
      </c>
      <c r="H65" s="68">
        <f>H62</f>
        <v>2197629.6</v>
      </c>
      <c r="I65" s="66"/>
      <c r="J65" s="66"/>
      <c r="K65" s="66"/>
    </row>
    <row r="66" spans="1:11" ht="23.25" customHeight="1" x14ac:dyDescent="0.2">
      <c r="A66" s="63"/>
      <c r="B66" s="64"/>
      <c r="C66" s="64"/>
      <c r="D66" s="64"/>
      <c r="E66" s="64"/>
      <c r="F66" s="64"/>
      <c r="G66" s="67" t="s">
        <v>19</v>
      </c>
      <c r="H66" s="68">
        <f>H63</f>
        <v>2555596.9</v>
      </c>
      <c r="I66" s="66"/>
      <c r="J66" s="66"/>
      <c r="K66" s="66"/>
    </row>
    <row r="67" spans="1:11" ht="16.5" customHeight="1" x14ac:dyDescent="0.2">
      <c r="A67" s="379" t="s">
        <v>159</v>
      </c>
      <c r="B67" s="379"/>
      <c r="C67" s="379"/>
      <c r="D67" s="379"/>
      <c r="E67" s="379"/>
      <c r="F67" s="379"/>
      <c r="G67" s="339"/>
      <c r="H67" s="380"/>
      <c r="I67" s="379"/>
      <c r="J67" s="379"/>
      <c r="K67" s="379"/>
    </row>
    <row r="68" spans="1:11" ht="16.5" customHeight="1" x14ac:dyDescent="0.2">
      <c r="B68" s="382" t="s">
        <v>24</v>
      </c>
      <c r="C68" s="383"/>
      <c r="D68" s="383"/>
      <c r="E68" s="383"/>
      <c r="F68" s="383"/>
      <c r="G68" s="383"/>
      <c r="H68" s="383"/>
      <c r="I68" s="383"/>
      <c r="J68" s="383"/>
      <c r="K68" s="384"/>
    </row>
    <row r="69" spans="1:11" ht="51.75" customHeight="1" x14ac:dyDescent="0.2">
      <c r="A69" s="273" t="s">
        <v>12</v>
      </c>
      <c r="B69" s="285" t="s">
        <v>216</v>
      </c>
      <c r="C69" s="319" t="s">
        <v>217</v>
      </c>
      <c r="D69" s="319" t="s">
        <v>14</v>
      </c>
      <c r="E69" s="285" t="s">
        <v>87</v>
      </c>
      <c r="F69" s="371" t="s">
        <v>52</v>
      </c>
      <c r="G69" s="30" t="s">
        <v>15</v>
      </c>
      <c r="H69" s="31">
        <f>SUM(H70:H71)</f>
        <v>53717.7</v>
      </c>
      <c r="I69" s="69" t="s">
        <v>176</v>
      </c>
      <c r="J69" s="33">
        <f>19671.2+5920.8</f>
        <v>25592</v>
      </c>
      <c r="K69" s="33">
        <f>21618.7+6507</f>
        <v>28125.7</v>
      </c>
    </row>
    <row r="70" spans="1:11" ht="76.5" x14ac:dyDescent="0.2">
      <c r="A70" s="297"/>
      <c r="B70" s="297"/>
      <c r="C70" s="319"/>
      <c r="D70" s="319"/>
      <c r="E70" s="286"/>
      <c r="F70" s="371"/>
      <c r="G70" s="30" t="s">
        <v>17</v>
      </c>
      <c r="H70" s="31">
        <f>J69</f>
        <v>25592</v>
      </c>
      <c r="I70" s="69" t="s">
        <v>293</v>
      </c>
      <c r="J70" s="34">
        <v>9</v>
      </c>
      <c r="K70" s="34">
        <v>9</v>
      </c>
    </row>
    <row r="71" spans="1:11" ht="54.6" customHeight="1" x14ac:dyDescent="0.2">
      <c r="A71" s="70"/>
      <c r="B71" s="71"/>
      <c r="C71" s="319"/>
      <c r="D71" s="319"/>
      <c r="E71" s="286"/>
      <c r="F71" s="371"/>
      <c r="G71" s="30" t="s">
        <v>19</v>
      </c>
      <c r="H71" s="31">
        <f>K69</f>
        <v>28125.7</v>
      </c>
      <c r="I71" s="72" t="s">
        <v>135</v>
      </c>
      <c r="J71" s="33">
        <f>J69/J70</f>
        <v>2843.5555555555557</v>
      </c>
      <c r="K71" s="33">
        <f>K69/K70</f>
        <v>3125.077777777778</v>
      </c>
    </row>
    <row r="72" spans="1:11" ht="127.5" customHeight="1" x14ac:dyDescent="0.2">
      <c r="A72" s="70"/>
      <c r="B72" s="73"/>
      <c r="C72" s="319"/>
      <c r="D72" s="319"/>
      <c r="E72" s="286"/>
      <c r="F72" s="371"/>
      <c r="G72" s="74"/>
      <c r="H72" s="75"/>
      <c r="I72" s="76" t="s">
        <v>323</v>
      </c>
      <c r="J72" s="33">
        <v>100</v>
      </c>
      <c r="K72" s="33">
        <v>100</v>
      </c>
    </row>
    <row r="73" spans="1:11" ht="58.5" customHeight="1" x14ac:dyDescent="0.2">
      <c r="A73" s="70"/>
      <c r="B73" s="285" t="s">
        <v>25</v>
      </c>
      <c r="C73" s="285" t="s">
        <v>215</v>
      </c>
      <c r="D73" s="319" t="s">
        <v>14</v>
      </c>
      <c r="E73" s="285" t="s">
        <v>87</v>
      </c>
      <c r="F73" s="319" t="s">
        <v>52</v>
      </c>
      <c r="G73" s="30" t="s">
        <v>15</v>
      </c>
      <c r="H73" s="31">
        <f>SUM(H74:H75)</f>
        <v>33758.400000000001</v>
      </c>
      <c r="I73" s="69" t="s">
        <v>26</v>
      </c>
      <c r="J73" s="77">
        <v>27240.6</v>
      </c>
      <c r="K73" s="77">
        <v>6517.8</v>
      </c>
    </row>
    <row r="74" spans="1:11" ht="76.5" customHeight="1" x14ac:dyDescent="0.2">
      <c r="A74" s="70"/>
      <c r="B74" s="368"/>
      <c r="C74" s="286"/>
      <c r="D74" s="319"/>
      <c r="E74" s="286"/>
      <c r="F74" s="319"/>
      <c r="G74" s="30" t="s">
        <v>17</v>
      </c>
      <c r="H74" s="31">
        <f>J73</f>
        <v>27240.6</v>
      </c>
      <c r="I74" s="43" t="s">
        <v>27</v>
      </c>
      <c r="J74" s="34">
        <v>468</v>
      </c>
      <c r="K74" s="34">
        <v>102</v>
      </c>
    </row>
    <row r="75" spans="1:11" ht="106.5" customHeight="1" x14ac:dyDescent="0.2">
      <c r="A75" s="70"/>
      <c r="B75" s="297"/>
      <c r="C75" s="286"/>
      <c r="D75" s="319"/>
      <c r="E75" s="286"/>
      <c r="F75" s="319"/>
      <c r="G75" s="30" t="s">
        <v>19</v>
      </c>
      <c r="H75" s="31">
        <f>K73</f>
        <v>6517.8</v>
      </c>
      <c r="I75" s="52" t="s">
        <v>384</v>
      </c>
      <c r="J75" s="77">
        <f>J73/J74</f>
        <v>58.206410256410251</v>
      </c>
      <c r="K75" s="77">
        <f>K73/K74</f>
        <v>63.9</v>
      </c>
    </row>
    <row r="76" spans="1:11" ht="107.25" customHeight="1" x14ac:dyDescent="0.2">
      <c r="A76" s="70"/>
      <c r="B76" s="302"/>
      <c r="C76" s="287"/>
      <c r="D76" s="319"/>
      <c r="E76" s="286"/>
      <c r="F76" s="319"/>
      <c r="G76" s="78"/>
      <c r="H76" s="79"/>
      <c r="I76" s="69" t="s">
        <v>370</v>
      </c>
      <c r="J76" s="33">
        <v>100</v>
      </c>
      <c r="K76" s="33">
        <v>100</v>
      </c>
    </row>
    <row r="77" spans="1:11" ht="52.9" customHeight="1" x14ac:dyDescent="0.2">
      <c r="A77" s="70"/>
      <c r="B77" s="285"/>
      <c r="C77" s="285" t="s">
        <v>258</v>
      </c>
      <c r="D77" s="319" t="s">
        <v>14</v>
      </c>
      <c r="E77" s="285" t="s">
        <v>228</v>
      </c>
      <c r="F77" s="319" t="s">
        <v>52</v>
      </c>
      <c r="G77" s="30" t="s">
        <v>15</v>
      </c>
      <c r="H77" s="31">
        <f>SUM(H78:H80)</f>
        <v>55244</v>
      </c>
      <c r="I77" s="69" t="s">
        <v>26</v>
      </c>
      <c r="J77" s="77">
        <v>28871</v>
      </c>
      <c r="K77" s="77">
        <v>26373</v>
      </c>
    </row>
    <row r="78" spans="1:11" ht="70.5" customHeight="1" x14ac:dyDescent="0.2">
      <c r="A78" s="70"/>
      <c r="B78" s="368"/>
      <c r="C78" s="286"/>
      <c r="D78" s="319"/>
      <c r="E78" s="286"/>
      <c r="F78" s="319"/>
      <c r="G78" s="30" t="s">
        <v>17</v>
      </c>
      <c r="H78" s="31">
        <f>J77</f>
        <v>28871</v>
      </c>
      <c r="I78" s="43" t="s">
        <v>229</v>
      </c>
      <c r="J78" s="34">
        <v>300</v>
      </c>
      <c r="K78" s="34">
        <v>244</v>
      </c>
    </row>
    <row r="79" spans="1:11" ht="81" customHeight="1" x14ac:dyDescent="0.2">
      <c r="A79" s="70"/>
      <c r="B79" s="368"/>
      <c r="C79" s="286"/>
      <c r="D79" s="319"/>
      <c r="E79" s="286"/>
      <c r="F79" s="319"/>
      <c r="G79" s="30"/>
      <c r="H79" s="31"/>
      <c r="I79" s="43" t="s">
        <v>359</v>
      </c>
      <c r="J79" s="34">
        <v>322</v>
      </c>
      <c r="K79" s="34">
        <v>292</v>
      </c>
    </row>
    <row r="80" spans="1:11" ht="67.5" customHeight="1" x14ac:dyDescent="0.2">
      <c r="A80" s="70"/>
      <c r="B80" s="297"/>
      <c r="C80" s="286"/>
      <c r="D80" s="319"/>
      <c r="E80" s="286"/>
      <c r="F80" s="319"/>
      <c r="G80" s="30" t="s">
        <v>19</v>
      </c>
      <c r="H80" s="31">
        <f>K77</f>
        <v>26373</v>
      </c>
      <c r="I80" s="52" t="s">
        <v>385</v>
      </c>
      <c r="J80" s="77">
        <f>J77/J78</f>
        <v>96.236666666666665</v>
      </c>
      <c r="K80" s="77">
        <f>K77/K78</f>
        <v>108.0860655737705</v>
      </c>
    </row>
    <row r="81" spans="1:11" ht="96.75" customHeight="1" x14ac:dyDescent="0.2">
      <c r="A81" s="70"/>
      <c r="B81" s="302"/>
      <c r="C81" s="287"/>
      <c r="D81" s="319"/>
      <c r="E81" s="286"/>
      <c r="F81" s="319"/>
      <c r="G81" s="78"/>
      <c r="H81" s="79"/>
      <c r="I81" s="69" t="s">
        <v>354</v>
      </c>
      <c r="J81" s="33">
        <v>100</v>
      </c>
      <c r="K81" s="33">
        <v>100</v>
      </c>
    </row>
    <row r="82" spans="1:11" ht="20.25" customHeight="1" x14ac:dyDescent="0.25">
      <c r="A82" s="80"/>
      <c r="B82" s="369" t="s">
        <v>160</v>
      </c>
      <c r="C82" s="308"/>
      <c r="D82" s="81"/>
      <c r="E82" s="82" t="s">
        <v>15</v>
      </c>
      <c r="F82" s="83">
        <f>SUM(F83:F84)</f>
        <v>142720.1</v>
      </c>
      <c r="G82" s="84"/>
      <c r="H82" s="84"/>
      <c r="I82" s="84"/>
      <c r="J82" s="84"/>
      <c r="K82" s="84"/>
    </row>
    <row r="83" spans="1:11" ht="16.5" customHeight="1" x14ac:dyDescent="0.25">
      <c r="A83" s="80"/>
      <c r="B83" s="308"/>
      <c r="C83" s="308"/>
      <c r="D83" s="85"/>
      <c r="E83" s="86" t="s">
        <v>17</v>
      </c>
      <c r="F83" s="87">
        <f>H70+H78+H74</f>
        <v>81703.600000000006</v>
      </c>
      <c r="G83" s="88"/>
      <c r="H83" s="88"/>
      <c r="I83" s="88"/>
      <c r="J83" s="88"/>
      <c r="K83" s="88"/>
    </row>
    <row r="84" spans="1:11" ht="20.25" customHeight="1" x14ac:dyDescent="0.25">
      <c r="A84" s="89"/>
      <c r="B84" s="310"/>
      <c r="C84" s="310"/>
      <c r="D84" s="90"/>
      <c r="E84" s="86" t="s">
        <v>19</v>
      </c>
      <c r="F84" s="87">
        <f>H71+H80+H75</f>
        <v>61016.5</v>
      </c>
      <c r="G84" s="88"/>
      <c r="H84" s="88"/>
      <c r="I84" s="88"/>
      <c r="J84" s="88"/>
      <c r="K84" s="88"/>
    </row>
    <row r="85" spans="1:11" ht="16.5" customHeight="1" x14ac:dyDescent="0.2">
      <c r="A85" s="326" t="s">
        <v>28</v>
      </c>
      <c r="B85" s="327"/>
      <c r="C85" s="327"/>
      <c r="D85" s="327"/>
      <c r="E85" s="327"/>
      <c r="F85" s="327"/>
      <c r="G85" s="327"/>
      <c r="H85" s="327"/>
      <c r="I85" s="327"/>
      <c r="J85" s="327"/>
      <c r="K85" s="328"/>
    </row>
    <row r="86" spans="1:11" ht="41.45" customHeight="1" x14ac:dyDescent="0.2">
      <c r="A86" s="271" t="s">
        <v>61</v>
      </c>
      <c r="B86" s="285" t="s">
        <v>259</v>
      </c>
      <c r="C86" s="319" t="s">
        <v>260</v>
      </c>
      <c r="D86" s="319" t="s">
        <v>14</v>
      </c>
      <c r="E86" s="285" t="s">
        <v>87</v>
      </c>
      <c r="F86" s="319" t="s">
        <v>52</v>
      </c>
      <c r="G86" s="30" t="s">
        <v>15</v>
      </c>
      <c r="H86" s="31">
        <f>SUM(H87:H88)</f>
        <v>81109</v>
      </c>
      <c r="I86" s="69" t="s">
        <v>29</v>
      </c>
      <c r="J86" s="33">
        <v>45601</v>
      </c>
      <c r="K86" s="33">
        <v>35508</v>
      </c>
    </row>
    <row r="87" spans="1:11" ht="102" customHeight="1" x14ac:dyDescent="0.2">
      <c r="A87" s="272"/>
      <c r="B87" s="297"/>
      <c r="C87" s="319"/>
      <c r="D87" s="319"/>
      <c r="E87" s="286"/>
      <c r="F87" s="319"/>
      <c r="G87" s="30" t="s">
        <v>17</v>
      </c>
      <c r="H87" s="31">
        <f>J86</f>
        <v>45601</v>
      </c>
      <c r="I87" s="69" t="s">
        <v>188</v>
      </c>
      <c r="J87" s="34">
        <v>113</v>
      </c>
      <c r="K87" s="34">
        <v>106</v>
      </c>
    </row>
    <row r="88" spans="1:11" ht="51" customHeight="1" x14ac:dyDescent="0.2">
      <c r="A88" s="272"/>
      <c r="B88" s="297"/>
      <c r="C88" s="319"/>
      <c r="D88" s="319"/>
      <c r="E88" s="286"/>
      <c r="F88" s="319"/>
      <c r="G88" s="30" t="s">
        <v>19</v>
      </c>
      <c r="H88" s="31">
        <f>K86</f>
        <v>35508</v>
      </c>
      <c r="I88" s="52" t="s">
        <v>30</v>
      </c>
      <c r="J88" s="33">
        <f>J86/J87</f>
        <v>403.54867256637169</v>
      </c>
      <c r="K88" s="33">
        <f>K86/K87</f>
        <v>334.98113207547169</v>
      </c>
    </row>
    <row r="89" spans="1:11" ht="56.25" customHeight="1" x14ac:dyDescent="0.2">
      <c r="A89" s="272"/>
      <c r="B89" s="73"/>
      <c r="C89" s="319"/>
      <c r="D89" s="319"/>
      <c r="E89" s="287"/>
      <c r="F89" s="319"/>
      <c r="G89" s="35"/>
      <c r="H89" s="36"/>
      <c r="I89" s="52" t="s">
        <v>189</v>
      </c>
      <c r="J89" s="33">
        <f>136/410*100</f>
        <v>33.170731707317074</v>
      </c>
      <c r="K89" s="33">
        <f>(136+106)/410*100</f>
        <v>59.024390243902438</v>
      </c>
    </row>
    <row r="90" spans="1:11" ht="25.5" customHeight="1" x14ac:dyDescent="0.2">
      <c r="A90" s="91"/>
      <c r="B90" s="273" t="s">
        <v>294</v>
      </c>
      <c r="C90" s="295" t="s">
        <v>261</v>
      </c>
      <c r="D90" s="295" t="s">
        <v>14</v>
      </c>
      <c r="E90" s="273" t="s">
        <v>144</v>
      </c>
      <c r="F90" s="273" t="s">
        <v>52</v>
      </c>
      <c r="G90" s="2" t="s">
        <v>15</v>
      </c>
      <c r="H90" s="3">
        <f>SUM(H91:H95)</f>
        <v>302.39999999999998</v>
      </c>
      <c r="I90" s="4" t="s">
        <v>38</v>
      </c>
      <c r="J90" s="48">
        <v>144</v>
      </c>
      <c r="K90" s="48">
        <f>144*1.1</f>
        <v>158.4</v>
      </c>
    </row>
    <row r="91" spans="1:11" ht="74.25" customHeight="1" x14ac:dyDescent="0.2">
      <c r="A91" s="91"/>
      <c r="B91" s="297"/>
      <c r="C91" s="295"/>
      <c r="D91" s="295"/>
      <c r="E91" s="274"/>
      <c r="F91" s="274"/>
      <c r="G91" s="2" t="s">
        <v>17</v>
      </c>
      <c r="H91" s="3">
        <f>J90</f>
        <v>144</v>
      </c>
      <c r="I91" s="4" t="s">
        <v>64</v>
      </c>
      <c r="J91" s="8">
        <v>35</v>
      </c>
      <c r="K91" s="8">
        <v>35</v>
      </c>
    </row>
    <row r="92" spans="1:11" ht="55.5" customHeight="1" x14ac:dyDescent="0.2">
      <c r="A92" s="70"/>
      <c r="B92" s="297"/>
      <c r="C92" s="295"/>
      <c r="D92" s="295"/>
      <c r="E92" s="274"/>
      <c r="F92" s="274"/>
      <c r="G92" s="2" t="s">
        <v>19</v>
      </c>
      <c r="H92" s="3">
        <f>K90</f>
        <v>158.4</v>
      </c>
      <c r="I92" s="76" t="s">
        <v>190</v>
      </c>
      <c r="J92" s="8">
        <v>14000</v>
      </c>
      <c r="K92" s="8">
        <v>14500</v>
      </c>
    </row>
    <row r="93" spans="1:11" ht="22.5" customHeight="1" x14ac:dyDescent="0.2">
      <c r="A93" s="70"/>
      <c r="B93" s="15"/>
      <c r="C93" s="295"/>
      <c r="D93" s="295"/>
      <c r="E93" s="274"/>
      <c r="F93" s="274"/>
      <c r="G93" s="267"/>
      <c r="H93" s="268"/>
      <c r="I93" s="92" t="s">
        <v>132</v>
      </c>
      <c r="J93" s="8">
        <v>11900</v>
      </c>
      <c r="K93" s="8">
        <v>12400</v>
      </c>
    </row>
    <row r="94" spans="1:11" ht="20.25" customHeight="1" x14ac:dyDescent="0.2">
      <c r="A94" s="70"/>
      <c r="B94" s="15"/>
      <c r="C94" s="295"/>
      <c r="D94" s="295"/>
      <c r="E94" s="274"/>
      <c r="F94" s="274"/>
      <c r="G94" s="282"/>
      <c r="H94" s="358"/>
      <c r="I94" s="92" t="s">
        <v>111</v>
      </c>
      <c r="J94" s="8">
        <v>2100</v>
      </c>
      <c r="K94" s="8">
        <v>2100</v>
      </c>
    </row>
    <row r="95" spans="1:11" ht="63" customHeight="1" x14ac:dyDescent="0.2">
      <c r="A95" s="70"/>
      <c r="B95" s="15"/>
      <c r="C95" s="295"/>
      <c r="D95" s="295"/>
      <c r="E95" s="274"/>
      <c r="F95" s="274"/>
      <c r="G95" s="269"/>
      <c r="H95" s="270"/>
      <c r="I95" s="93" t="s">
        <v>65</v>
      </c>
      <c r="J95" s="48">
        <f>J90/J91</f>
        <v>4.1142857142857139</v>
      </c>
      <c r="K95" s="48">
        <f>K90/K91</f>
        <v>4.5257142857142858</v>
      </c>
    </row>
    <row r="96" spans="1:11" ht="125.25" customHeight="1" x14ac:dyDescent="0.2">
      <c r="A96" s="70"/>
      <c r="B96" s="15"/>
      <c r="C96" s="295"/>
      <c r="D96" s="295"/>
      <c r="E96" s="274"/>
      <c r="F96" s="274"/>
      <c r="G96" s="94"/>
      <c r="H96" s="95"/>
      <c r="I96" s="55" t="s">
        <v>236</v>
      </c>
      <c r="J96" s="48">
        <v>100</v>
      </c>
      <c r="K96" s="48">
        <f>K92/J92*100</f>
        <v>103.57142857142858</v>
      </c>
    </row>
    <row r="97" spans="1:11" ht="38.25" customHeight="1" x14ac:dyDescent="0.2">
      <c r="A97" s="70"/>
      <c r="B97" s="15"/>
      <c r="C97" s="295" t="s">
        <v>262</v>
      </c>
      <c r="D97" s="295" t="s">
        <v>14</v>
      </c>
      <c r="E97" s="273" t="s">
        <v>98</v>
      </c>
      <c r="F97" s="273" t="s">
        <v>52</v>
      </c>
      <c r="G97" s="2" t="s">
        <v>15</v>
      </c>
      <c r="H97" s="3">
        <f>SUM(H98:H99)</f>
        <v>140562</v>
      </c>
      <c r="I97" s="4" t="s">
        <v>38</v>
      </c>
      <c r="J97" s="48">
        <v>70200</v>
      </c>
      <c r="K97" s="48">
        <v>70362</v>
      </c>
    </row>
    <row r="98" spans="1:11" ht="87.75" customHeight="1" x14ac:dyDescent="0.2">
      <c r="A98" s="70"/>
      <c r="B98" s="15"/>
      <c r="C98" s="295"/>
      <c r="D98" s="295"/>
      <c r="E98" s="274"/>
      <c r="F98" s="274"/>
      <c r="G98" s="2" t="s">
        <v>17</v>
      </c>
      <c r="H98" s="3">
        <f>J97</f>
        <v>70200</v>
      </c>
      <c r="I98" s="4" t="s">
        <v>66</v>
      </c>
      <c r="J98" s="8">
        <v>11700</v>
      </c>
      <c r="K98" s="8">
        <v>11727</v>
      </c>
    </row>
    <row r="99" spans="1:11" ht="69.75" customHeight="1" x14ac:dyDescent="0.2">
      <c r="A99" s="70"/>
      <c r="B99" s="15"/>
      <c r="C99" s="295"/>
      <c r="D99" s="295"/>
      <c r="E99" s="274"/>
      <c r="F99" s="274"/>
      <c r="G99" s="2" t="s">
        <v>19</v>
      </c>
      <c r="H99" s="9">
        <f>K97</f>
        <v>70362</v>
      </c>
      <c r="I99" s="4" t="s">
        <v>67</v>
      </c>
      <c r="J99" s="48">
        <f>J97/J98</f>
        <v>6</v>
      </c>
      <c r="K99" s="48">
        <f>K97/K98</f>
        <v>6</v>
      </c>
    </row>
    <row r="100" spans="1:11" ht="117" customHeight="1" x14ac:dyDescent="0.2">
      <c r="A100" s="70"/>
      <c r="B100" s="15"/>
      <c r="C100" s="295"/>
      <c r="D100" s="295"/>
      <c r="E100" s="275"/>
      <c r="F100" s="275"/>
      <c r="G100" s="94"/>
      <c r="H100" s="95"/>
      <c r="I100" s="55" t="s">
        <v>174</v>
      </c>
      <c r="J100" s="96">
        <v>100</v>
      </c>
      <c r="K100" s="96">
        <v>100.2</v>
      </c>
    </row>
    <row r="101" spans="1:11" ht="133.5" customHeight="1" x14ac:dyDescent="0.2">
      <c r="A101" s="70"/>
      <c r="B101" s="71"/>
      <c r="C101" s="295" t="s">
        <v>263</v>
      </c>
      <c r="D101" s="295" t="s">
        <v>14</v>
      </c>
      <c r="E101" s="273" t="s">
        <v>130</v>
      </c>
      <c r="F101" s="273" t="s">
        <v>52</v>
      </c>
      <c r="G101" s="2" t="s">
        <v>15</v>
      </c>
      <c r="H101" s="3">
        <f>SUM(H102:H103)</f>
        <v>2000</v>
      </c>
      <c r="I101" s="4" t="s">
        <v>38</v>
      </c>
      <c r="J101" s="48">
        <v>1000</v>
      </c>
      <c r="K101" s="48">
        <v>1000</v>
      </c>
    </row>
    <row r="102" spans="1:11" ht="57.75" customHeight="1" x14ac:dyDescent="0.2">
      <c r="A102" s="70"/>
      <c r="B102" s="71"/>
      <c r="C102" s="295"/>
      <c r="D102" s="295"/>
      <c r="E102" s="274"/>
      <c r="F102" s="274"/>
      <c r="G102" s="2" t="s">
        <v>17</v>
      </c>
      <c r="H102" s="3">
        <f>J101</f>
        <v>1000</v>
      </c>
      <c r="I102" s="4" t="s">
        <v>264</v>
      </c>
      <c r="J102" s="8">
        <v>100</v>
      </c>
      <c r="K102" s="8">
        <v>100</v>
      </c>
    </row>
    <row r="103" spans="1:11" ht="67.5" customHeight="1" x14ac:dyDescent="0.2">
      <c r="A103" s="70"/>
      <c r="B103" s="71"/>
      <c r="C103" s="295"/>
      <c r="D103" s="295"/>
      <c r="E103" s="274"/>
      <c r="F103" s="274"/>
      <c r="G103" s="2" t="s">
        <v>19</v>
      </c>
      <c r="H103" s="9">
        <f>K101</f>
        <v>1000</v>
      </c>
      <c r="I103" s="4" t="s">
        <v>221</v>
      </c>
      <c r="J103" s="48">
        <f>J101/J102</f>
        <v>10</v>
      </c>
      <c r="K103" s="48">
        <f>K101/K102</f>
        <v>10</v>
      </c>
    </row>
    <row r="104" spans="1:11" ht="63.75" customHeight="1" x14ac:dyDescent="0.2">
      <c r="A104" s="70"/>
      <c r="B104" s="73"/>
      <c r="C104" s="295"/>
      <c r="D104" s="295"/>
      <c r="E104" s="275"/>
      <c r="F104" s="275"/>
      <c r="G104" s="94"/>
      <c r="H104" s="95"/>
      <c r="I104" s="55" t="s">
        <v>237</v>
      </c>
      <c r="J104" s="8">
        <v>100</v>
      </c>
      <c r="K104" s="8">
        <v>100</v>
      </c>
    </row>
    <row r="105" spans="1:11" ht="53.25" customHeight="1" x14ac:dyDescent="0.2">
      <c r="A105" s="70"/>
      <c r="B105" s="273" t="s">
        <v>277</v>
      </c>
      <c r="C105" s="273" t="s">
        <v>278</v>
      </c>
      <c r="D105" s="273" t="s">
        <v>14</v>
      </c>
      <c r="E105" s="285" t="s">
        <v>206</v>
      </c>
      <c r="F105" s="273" t="s">
        <v>52</v>
      </c>
      <c r="G105" s="2" t="s">
        <v>15</v>
      </c>
      <c r="H105" s="3">
        <f>SUM(H106:H107)</f>
        <v>60</v>
      </c>
      <c r="I105" s="4" t="s">
        <v>38</v>
      </c>
      <c r="J105" s="48">
        <v>30</v>
      </c>
      <c r="K105" s="48">
        <v>30</v>
      </c>
    </row>
    <row r="106" spans="1:11" ht="50.25" customHeight="1" x14ac:dyDescent="0.2">
      <c r="A106" s="70"/>
      <c r="B106" s="274"/>
      <c r="C106" s="274"/>
      <c r="D106" s="274"/>
      <c r="E106" s="286"/>
      <c r="F106" s="274"/>
      <c r="G106" s="2" t="s">
        <v>17</v>
      </c>
      <c r="H106" s="3">
        <f>J105</f>
        <v>30</v>
      </c>
      <c r="I106" s="4" t="s">
        <v>63</v>
      </c>
      <c r="J106" s="8">
        <v>5</v>
      </c>
      <c r="K106" s="8">
        <v>5</v>
      </c>
    </row>
    <row r="107" spans="1:11" ht="72" customHeight="1" x14ac:dyDescent="0.2">
      <c r="A107" s="70"/>
      <c r="B107" s="274"/>
      <c r="C107" s="274"/>
      <c r="D107" s="274"/>
      <c r="E107" s="286"/>
      <c r="F107" s="274"/>
      <c r="G107" s="2" t="s">
        <v>19</v>
      </c>
      <c r="H107" s="9">
        <f>K105</f>
        <v>30</v>
      </c>
      <c r="I107" s="93" t="s">
        <v>68</v>
      </c>
      <c r="J107" s="48">
        <f>J105/J106</f>
        <v>6</v>
      </c>
      <c r="K107" s="48">
        <f>K105/K106</f>
        <v>6</v>
      </c>
    </row>
    <row r="108" spans="1:11" ht="56.25" customHeight="1" x14ac:dyDescent="0.2">
      <c r="A108" s="70"/>
      <c r="B108" s="275"/>
      <c r="C108" s="275"/>
      <c r="D108" s="275"/>
      <c r="E108" s="287"/>
      <c r="F108" s="275"/>
      <c r="G108" s="94"/>
      <c r="H108" s="95"/>
      <c r="I108" s="55" t="s">
        <v>238</v>
      </c>
      <c r="J108" s="48">
        <v>100</v>
      </c>
      <c r="K108" s="48">
        <v>100</v>
      </c>
    </row>
    <row r="109" spans="1:11" ht="38.25" customHeight="1" x14ac:dyDescent="0.2">
      <c r="A109" s="70"/>
      <c r="B109" s="285" t="s">
        <v>279</v>
      </c>
      <c r="C109" s="271" t="s">
        <v>280</v>
      </c>
      <c r="D109" s="295" t="s">
        <v>14</v>
      </c>
      <c r="E109" s="285" t="s">
        <v>191</v>
      </c>
      <c r="F109" s="295" t="s">
        <v>52</v>
      </c>
      <c r="G109" s="94" t="s">
        <v>15</v>
      </c>
      <c r="H109" s="95">
        <f>SUM(H110:H111)</f>
        <v>4173.3</v>
      </c>
      <c r="I109" s="4" t="s">
        <v>38</v>
      </c>
      <c r="J109" s="48">
        <v>1983.2</v>
      </c>
      <c r="K109" s="48">
        <v>2190.1</v>
      </c>
    </row>
    <row r="110" spans="1:11" ht="66.75" customHeight="1" x14ac:dyDescent="0.2">
      <c r="A110" s="70"/>
      <c r="B110" s="368"/>
      <c r="C110" s="296"/>
      <c r="D110" s="295"/>
      <c r="E110" s="286"/>
      <c r="F110" s="295"/>
      <c r="G110" s="94" t="s">
        <v>17</v>
      </c>
      <c r="H110" s="95">
        <f>J109</f>
        <v>1983.2</v>
      </c>
      <c r="I110" s="55" t="s">
        <v>360</v>
      </c>
      <c r="J110" s="8">
        <v>200</v>
      </c>
      <c r="K110" s="8">
        <v>222</v>
      </c>
    </row>
    <row r="111" spans="1:11" ht="70.5" customHeight="1" x14ac:dyDescent="0.2">
      <c r="A111" s="70"/>
      <c r="B111" s="97"/>
      <c r="C111" s="296"/>
      <c r="D111" s="295"/>
      <c r="E111" s="286"/>
      <c r="F111" s="295"/>
      <c r="G111" s="94" t="s">
        <v>19</v>
      </c>
      <c r="H111" s="95">
        <f>K109</f>
        <v>2190.1</v>
      </c>
      <c r="I111" s="4" t="s">
        <v>295</v>
      </c>
      <c r="J111" s="8">
        <v>7</v>
      </c>
      <c r="K111" s="8">
        <v>7</v>
      </c>
    </row>
    <row r="112" spans="1:11" ht="87.75" customHeight="1" x14ac:dyDescent="0.2">
      <c r="A112" s="70"/>
      <c r="B112" s="98"/>
      <c r="C112" s="15"/>
      <c r="D112" s="295"/>
      <c r="E112" s="286"/>
      <c r="F112" s="295"/>
      <c r="G112" s="99"/>
      <c r="H112" s="99"/>
      <c r="I112" s="55" t="s">
        <v>381</v>
      </c>
      <c r="J112" s="48">
        <f>759.6/J110</f>
        <v>3.798</v>
      </c>
      <c r="K112" s="48">
        <f>844/K110</f>
        <v>3.8018018018018016</v>
      </c>
    </row>
    <row r="113" spans="1:11" ht="87.75" customHeight="1" x14ac:dyDescent="0.2">
      <c r="A113" s="70"/>
      <c r="B113" s="98"/>
      <c r="C113" s="15"/>
      <c r="D113" s="273"/>
      <c r="E113" s="286"/>
      <c r="F113" s="273"/>
      <c r="G113" s="99"/>
      <c r="H113" s="99"/>
      <c r="I113" s="55" t="s">
        <v>161</v>
      </c>
      <c r="J113" s="48">
        <f>(J109-759.6)/J111</f>
        <v>174.79999999999998</v>
      </c>
      <c r="K113" s="48">
        <f>(K109-844)/K111</f>
        <v>192.29999999999998</v>
      </c>
    </row>
    <row r="114" spans="1:11" ht="87.75" customHeight="1" x14ac:dyDescent="0.2">
      <c r="A114" s="70"/>
      <c r="B114" s="98"/>
      <c r="C114" s="15"/>
      <c r="D114" s="273"/>
      <c r="E114" s="286"/>
      <c r="F114" s="273"/>
      <c r="G114" s="99"/>
      <c r="H114" s="99"/>
      <c r="I114" s="100" t="s">
        <v>355</v>
      </c>
      <c r="J114" s="101">
        <v>100</v>
      </c>
      <c r="K114" s="101">
        <f>K110/J110*100</f>
        <v>111.00000000000001</v>
      </c>
    </row>
    <row r="115" spans="1:11" ht="55.5" customHeight="1" x14ac:dyDescent="0.2">
      <c r="A115" s="70"/>
      <c r="B115" s="98"/>
      <c r="C115" s="15"/>
      <c r="D115" s="273"/>
      <c r="E115" s="286"/>
      <c r="F115" s="273"/>
      <c r="G115" s="94"/>
      <c r="H115" s="95"/>
      <c r="I115" s="102" t="s">
        <v>238</v>
      </c>
      <c r="J115" s="103">
        <v>100</v>
      </c>
      <c r="K115" s="103">
        <v>100</v>
      </c>
    </row>
    <row r="116" spans="1:11" ht="20.25" customHeight="1" x14ac:dyDescent="0.2">
      <c r="A116" s="70"/>
      <c r="B116" s="280" t="s">
        <v>358</v>
      </c>
      <c r="C116" s="306"/>
      <c r="D116" s="104"/>
      <c r="E116" s="82" t="s">
        <v>15</v>
      </c>
      <c r="F116" s="105">
        <f>SUM(F117:F118)</f>
        <v>228206.7</v>
      </c>
      <c r="G116" s="106"/>
      <c r="H116" s="107"/>
      <c r="I116" s="42"/>
      <c r="J116" s="108"/>
      <c r="K116" s="108"/>
    </row>
    <row r="117" spans="1:11" ht="17.25" customHeight="1" x14ac:dyDescent="0.25">
      <c r="A117" s="70"/>
      <c r="B117" s="307"/>
      <c r="C117" s="308"/>
      <c r="D117" s="85"/>
      <c r="E117" s="86" t="s">
        <v>17</v>
      </c>
      <c r="F117" s="109">
        <f>H87+H91+H98+H106+H110+H102</f>
        <v>118958.2</v>
      </c>
      <c r="G117" s="110"/>
      <c r="H117" s="111"/>
      <c r="I117" s="112"/>
      <c r="J117" s="113"/>
      <c r="K117" s="113"/>
    </row>
    <row r="118" spans="1:11" ht="18" customHeight="1" x14ac:dyDescent="0.25">
      <c r="A118" s="70"/>
      <c r="B118" s="309"/>
      <c r="C118" s="310"/>
      <c r="D118" s="90"/>
      <c r="E118" s="82" t="s">
        <v>19</v>
      </c>
      <c r="F118" s="109">
        <f>H88+H92+H99+H107+H111+H103</f>
        <v>109248.5</v>
      </c>
      <c r="G118" s="114"/>
      <c r="H118" s="115"/>
      <c r="I118" s="116"/>
      <c r="J118" s="117"/>
      <c r="K118" s="117"/>
    </row>
    <row r="119" spans="1:11" ht="19.5" customHeight="1" x14ac:dyDescent="0.25">
      <c r="A119" s="365" t="s">
        <v>31</v>
      </c>
      <c r="B119" s="366"/>
      <c r="C119" s="366"/>
      <c r="D119" s="366"/>
      <c r="E119" s="366"/>
      <c r="F119" s="366"/>
      <c r="G119" s="367"/>
      <c r="H119" s="367"/>
      <c r="I119" s="367"/>
      <c r="J119" s="367"/>
      <c r="K119" s="367"/>
    </row>
    <row r="120" spans="1:11" ht="44.25" customHeight="1" x14ac:dyDescent="0.2">
      <c r="A120" s="271" t="s">
        <v>61</v>
      </c>
      <c r="B120" s="271" t="s">
        <v>296</v>
      </c>
      <c r="C120" s="285" t="s">
        <v>281</v>
      </c>
      <c r="D120" s="319">
        <v>2025</v>
      </c>
      <c r="E120" s="285" t="s">
        <v>87</v>
      </c>
      <c r="F120" s="319" t="s">
        <v>52</v>
      </c>
      <c r="G120" s="30" t="s">
        <v>15</v>
      </c>
      <c r="H120" s="31">
        <f>SUM(H121:H122)</f>
        <v>6.6</v>
      </c>
      <c r="I120" s="69" t="s">
        <v>29</v>
      </c>
      <c r="J120" s="52"/>
      <c r="K120" s="52">
        <v>6.6</v>
      </c>
    </row>
    <row r="121" spans="1:11" ht="76.5" customHeight="1" x14ac:dyDescent="0.2">
      <c r="A121" s="296"/>
      <c r="B121" s="272"/>
      <c r="C121" s="286"/>
      <c r="D121" s="319"/>
      <c r="E121" s="286"/>
      <c r="F121" s="319"/>
      <c r="G121" s="30"/>
      <c r="H121" s="31"/>
      <c r="I121" s="118" t="s">
        <v>32</v>
      </c>
      <c r="J121" s="52"/>
      <c r="K121" s="52">
        <v>3</v>
      </c>
    </row>
    <row r="122" spans="1:11" ht="93" customHeight="1" x14ac:dyDescent="0.25">
      <c r="A122" s="70"/>
      <c r="B122" s="119"/>
      <c r="C122" s="286"/>
      <c r="D122" s="319"/>
      <c r="E122" s="286"/>
      <c r="F122" s="319"/>
      <c r="G122" s="30" t="s">
        <v>19</v>
      </c>
      <c r="H122" s="31">
        <f>K120</f>
        <v>6.6</v>
      </c>
      <c r="I122" s="52" t="s">
        <v>33</v>
      </c>
      <c r="J122" s="52"/>
      <c r="K122" s="78">
        <v>2.2000000000000002</v>
      </c>
    </row>
    <row r="123" spans="1:11" ht="93" customHeight="1" x14ac:dyDescent="0.25">
      <c r="A123" s="70"/>
      <c r="B123" s="119"/>
      <c r="C123" s="286"/>
      <c r="D123" s="319"/>
      <c r="E123" s="286"/>
      <c r="F123" s="319"/>
      <c r="G123" s="30"/>
      <c r="H123" s="31"/>
      <c r="I123" s="52" t="s">
        <v>218</v>
      </c>
      <c r="J123" s="34"/>
      <c r="K123" s="33">
        <v>100</v>
      </c>
    </row>
    <row r="124" spans="1:11" ht="38.25" customHeight="1" x14ac:dyDescent="0.25">
      <c r="A124" s="70"/>
      <c r="B124" s="119"/>
      <c r="C124" s="285" t="s">
        <v>282</v>
      </c>
      <c r="D124" s="319" t="s">
        <v>14</v>
      </c>
      <c r="E124" s="285" t="s">
        <v>87</v>
      </c>
      <c r="F124" s="319" t="s">
        <v>52</v>
      </c>
      <c r="G124" s="30" t="s">
        <v>15</v>
      </c>
      <c r="H124" s="31">
        <f>SUM(H125:H126)</f>
        <v>22800</v>
      </c>
      <c r="I124" s="69" t="s">
        <v>29</v>
      </c>
      <c r="J124" s="77">
        <v>12300</v>
      </c>
      <c r="K124" s="77">
        <v>10500</v>
      </c>
    </row>
    <row r="125" spans="1:11" ht="106.5" customHeight="1" x14ac:dyDescent="0.25">
      <c r="A125" s="70"/>
      <c r="B125" s="119"/>
      <c r="C125" s="286"/>
      <c r="D125" s="319"/>
      <c r="E125" s="286"/>
      <c r="F125" s="319"/>
      <c r="G125" s="30" t="s">
        <v>17</v>
      </c>
      <c r="H125" s="31">
        <f>J124</f>
        <v>12300</v>
      </c>
      <c r="I125" s="52" t="s">
        <v>324</v>
      </c>
      <c r="J125" s="34">
        <v>41</v>
      </c>
      <c r="K125" s="34">
        <v>35</v>
      </c>
    </row>
    <row r="126" spans="1:11" ht="76.5" x14ac:dyDescent="0.25">
      <c r="A126" s="70"/>
      <c r="B126" s="119"/>
      <c r="C126" s="286"/>
      <c r="D126" s="319"/>
      <c r="E126" s="286"/>
      <c r="F126" s="319"/>
      <c r="G126" s="30" t="s">
        <v>19</v>
      </c>
      <c r="H126" s="120">
        <f>K124</f>
        <v>10500</v>
      </c>
      <c r="I126" s="55" t="s">
        <v>34</v>
      </c>
      <c r="J126" s="48">
        <f>J124/J125</f>
        <v>300</v>
      </c>
      <c r="K126" s="48">
        <f>K124/K125</f>
        <v>300</v>
      </c>
    </row>
    <row r="127" spans="1:11" ht="135.75" customHeight="1" x14ac:dyDescent="0.25">
      <c r="A127" s="70"/>
      <c r="B127" s="119"/>
      <c r="C127" s="286"/>
      <c r="D127" s="319"/>
      <c r="E127" s="286"/>
      <c r="F127" s="319"/>
      <c r="G127" s="30"/>
      <c r="H127" s="120"/>
      <c r="I127" s="55" t="s">
        <v>162</v>
      </c>
      <c r="J127" s="48">
        <v>74</v>
      </c>
      <c r="K127" s="48">
        <v>82</v>
      </c>
    </row>
    <row r="128" spans="1:11" ht="38.25" x14ac:dyDescent="0.25">
      <c r="A128" s="70"/>
      <c r="B128" s="119"/>
      <c r="C128" s="319" t="s">
        <v>283</v>
      </c>
      <c r="D128" s="285" t="s">
        <v>14</v>
      </c>
      <c r="E128" s="285" t="s">
        <v>87</v>
      </c>
      <c r="F128" s="319" t="s">
        <v>52</v>
      </c>
      <c r="G128" s="30" t="s">
        <v>15</v>
      </c>
      <c r="H128" s="31">
        <f>SUM(H129:H131)</f>
        <v>42718.399999999994</v>
      </c>
      <c r="I128" s="69" t="s">
        <v>29</v>
      </c>
      <c r="J128" s="77">
        <v>20351.8</v>
      </c>
      <c r="K128" s="77">
        <v>22366.6</v>
      </c>
    </row>
    <row r="129" spans="1:11" ht="81" customHeight="1" x14ac:dyDescent="0.25">
      <c r="A129" s="70"/>
      <c r="B129" s="119"/>
      <c r="C129" s="319"/>
      <c r="D129" s="286"/>
      <c r="E129" s="286"/>
      <c r="F129" s="319"/>
      <c r="G129" s="30" t="s">
        <v>17</v>
      </c>
      <c r="H129" s="31">
        <f>J128</f>
        <v>20351.8</v>
      </c>
      <c r="I129" s="52" t="s">
        <v>35</v>
      </c>
      <c r="J129" s="34">
        <v>2</v>
      </c>
      <c r="K129" s="34">
        <v>2</v>
      </c>
    </row>
    <row r="130" spans="1:11" ht="39" customHeight="1" x14ac:dyDescent="0.25">
      <c r="A130" s="70"/>
      <c r="B130" s="119"/>
      <c r="C130" s="319"/>
      <c r="D130" s="286"/>
      <c r="E130" s="286"/>
      <c r="F130" s="319"/>
      <c r="G130" s="30"/>
      <c r="H130" s="31"/>
      <c r="I130" s="52" t="s">
        <v>361</v>
      </c>
      <c r="J130" s="34">
        <v>1500</v>
      </c>
      <c r="K130" s="34">
        <v>2000</v>
      </c>
    </row>
    <row r="131" spans="1:11" ht="66" customHeight="1" x14ac:dyDescent="0.25">
      <c r="A131" s="70"/>
      <c r="B131" s="119"/>
      <c r="C131" s="319"/>
      <c r="D131" s="286"/>
      <c r="E131" s="286"/>
      <c r="F131" s="319"/>
      <c r="G131" s="30" t="s">
        <v>19</v>
      </c>
      <c r="H131" s="31">
        <f>K128</f>
        <v>22366.6</v>
      </c>
      <c r="I131" s="52" t="s">
        <v>36</v>
      </c>
      <c r="J131" s="33">
        <f>J128/J129</f>
        <v>10175.9</v>
      </c>
      <c r="K131" s="33">
        <f>K128/K129</f>
        <v>11183.3</v>
      </c>
    </row>
    <row r="132" spans="1:11" ht="88.5" customHeight="1" x14ac:dyDescent="0.2">
      <c r="A132" s="70"/>
      <c r="B132" s="400"/>
      <c r="C132" s="319"/>
      <c r="D132" s="287"/>
      <c r="E132" s="287"/>
      <c r="F132" s="319"/>
      <c r="G132" s="35"/>
      <c r="H132" s="36"/>
      <c r="I132" s="52" t="s">
        <v>239</v>
      </c>
      <c r="J132" s="33">
        <v>100</v>
      </c>
      <c r="K132" s="33">
        <f>K130/J130*100</f>
        <v>133.33333333333331</v>
      </c>
    </row>
    <row r="133" spans="1:11" ht="42.75" customHeight="1" x14ac:dyDescent="0.2">
      <c r="A133" s="70"/>
      <c r="B133" s="276"/>
      <c r="C133" s="295" t="s">
        <v>297</v>
      </c>
      <c r="D133" s="295" t="s">
        <v>14</v>
      </c>
      <c r="E133" s="273" t="s">
        <v>128</v>
      </c>
      <c r="F133" s="273" t="s">
        <v>52</v>
      </c>
      <c r="G133" s="2" t="s">
        <v>15</v>
      </c>
      <c r="H133" s="3">
        <f>SUM(H134:H135)</f>
        <v>60</v>
      </c>
      <c r="I133" s="4" t="s">
        <v>38</v>
      </c>
      <c r="J133" s="48">
        <v>30</v>
      </c>
      <c r="K133" s="48">
        <v>30</v>
      </c>
    </row>
    <row r="134" spans="1:11" ht="67.5" customHeight="1" x14ac:dyDescent="0.2">
      <c r="A134" s="70"/>
      <c r="B134" s="276"/>
      <c r="C134" s="295"/>
      <c r="D134" s="295"/>
      <c r="E134" s="274"/>
      <c r="F134" s="274"/>
      <c r="G134" s="2" t="s">
        <v>17</v>
      </c>
      <c r="H134" s="3">
        <f>J133</f>
        <v>30</v>
      </c>
      <c r="I134" s="4" t="s">
        <v>325</v>
      </c>
      <c r="J134" s="8">
        <v>2000</v>
      </c>
      <c r="K134" s="8">
        <v>2000</v>
      </c>
    </row>
    <row r="135" spans="1:11" ht="51" x14ac:dyDescent="0.2">
      <c r="A135" s="70"/>
      <c r="B135" s="276"/>
      <c r="C135" s="295"/>
      <c r="D135" s="295"/>
      <c r="E135" s="274"/>
      <c r="F135" s="274"/>
      <c r="G135" s="2" t="s">
        <v>19</v>
      </c>
      <c r="H135" s="9">
        <f>K133</f>
        <v>30</v>
      </c>
      <c r="I135" s="4" t="s">
        <v>136</v>
      </c>
      <c r="J135" s="121">
        <f>J133/J134</f>
        <v>1.4999999999999999E-2</v>
      </c>
      <c r="K135" s="121">
        <f>K133/K134</f>
        <v>1.4999999999999999E-2</v>
      </c>
    </row>
    <row r="136" spans="1:11" ht="86.25" customHeight="1" x14ac:dyDescent="0.2">
      <c r="A136" s="70"/>
      <c r="B136" s="401"/>
      <c r="C136" s="295"/>
      <c r="D136" s="295"/>
      <c r="E136" s="275"/>
      <c r="F136" s="274"/>
      <c r="G136" s="94"/>
      <c r="H136" s="95"/>
      <c r="I136" s="122" t="s">
        <v>137</v>
      </c>
      <c r="J136" s="101">
        <v>100</v>
      </c>
      <c r="K136" s="101">
        <v>100</v>
      </c>
    </row>
    <row r="137" spans="1:11" ht="20.25" customHeight="1" x14ac:dyDescent="0.2">
      <c r="A137" s="70"/>
      <c r="B137" s="280" t="s">
        <v>148</v>
      </c>
      <c r="C137" s="281"/>
      <c r="D137" s="104"/>
      <c r="E137" s="82" t="s">
        <v>15</v>
      </c>
      <c r="F137" s="83">
        <f>SUM(F138:F139)</f>
        <v>65585</v>
      </c>
      <c r="G137" s="123"/>
      <c r="H137" s="124"/>
      <c r="I137" s="123"/>
      <c r="J137" s="125"/>
      <c r="K137" s="125"/>
    </row>
    <row r="138" spans="1:11" ht="20.25" customHeight="1" x14ac:dyDescent="0.25">
      <c r="A138" s="70"/>
      <c r="B138" s="282"/>
      <c r="C138" s="283"/>
      <c r="D138" s="85"/>
      <c r="E138" s="86" t="s">
        <v>17</v>
      </c>
      <c r="F138" s="87">
        <f>H121+H125+H129+H134</f>
        <v>32681.8</v>
      </c>
      <c r="G138" s="126"/>
      <c r="H138" s="127"/>
      <c r="I138" s="126"/>
      <c r="J138" s="128"/>
      <c r="K138" s="128"/>
    </row>
    <row r="139" spans="1:11" ht="18" customHeight="1" x14ac:dyDescent="0.25">
      <c r="A139" s="70"/>
      <c r="B139" s="269"/>
      <c r="C139" s="284"/>
      <c r="D139" s="90"/>
      <c r="E139" s="82" t="s">
        <v>19</v>
      </c>
      <c r="F139" s="87">
        <f>H122+H126+H131+H135</f>
        <v>32903.199999999997</v>
      </c>
      <c r="G139" s="126"/>
      <c r="H139" s="127"/>
      <c r="I139" s="126"/>
      <c r="J139" s="128"/>
      <c r="K139" s="128"/>
    </row>
    <row r="140" spans="1:11" ht="15" customHeight="1" x14ac:dyDescent="0.25">
      <c r="A140" s="365" t="s">
        <v>37</v>
      </c>
      <c r="B140" s="366"/>
      <c r="C140" s="366"/>
      <c r="D140" s="366"/>
      <c r="E140" s="366"/>
      <c r="F140" s="366"/>
      <c r="G140" s="367"/>
      <c r="H140" s="367"/>
      <c r="I140" s="367"/>
      <c r="J140" s="367"/>
      <c r="K140" s="367"/>
    </row>
    <row r="141" spans="1:11" ht="38.25" customHeight="1" x14ac:dyDescent="0.2">
      <c r="A141" s="296" t="s">
        <v>61</v>
      </c>
      <c r="B141" s="271" t="s">
        <v>298</v>
      </c>
      <c r="C141" s="273" t="s">
        <v>299</v>
      </c>
      <c r="D141" s="273" t="s">
        <v>14</v>
      </c>
      <c r="E141" s="344" t="s">
        <v>87</v>
      </c>
      <c r="F141" s="273" t="s">
        <v>52</v>
      </c>
      <c r="G141" s="2" t="s">
        <v>15</v>
      </c>
      <c r="H141" s="3">
        <f>SUM(H142:H143)</f>
        <v>20328</v>
      </c>
      <c r="I141" s="4" t="s">
        <v>38</v>
      </c>
      <c r="J141" s="13">
        <v>10164</v>
      </c>
      <c r="K141" s="13">
        <v>10164</v>
      </c>
    </row>
    <row r="142" spans="1:11" ht="93" customHeight="1" x14ac:dyDescent="0.2">
      <c r="A142" s="296"/>
      <c r="B142" s="297"/>
      <c r="C142" s="297"/>
      <c r="D142" s="297"/>
      <c r="E142" s="297"/>
      <c r="F142" s="297"/>
      <c r="G142" s="2" t="s">
        <v>17</v>
      </c>
      <c r="H142" s="3">
        <f>J141</f>
        <v>10164</v>
      </c>
      <c r="I142" s="4" t="s">
        <v>39</v>
      </c>
      <c r="J142" s="8">
        <v>21</v>
      </c>
      <c r="K142" s="8">
        <v>21</v>
      </c>
    </row>
    <row r="143" spans="1:11" ht="89.25" x14ac:dyDescent="0.2">
      <c r="A143" s="70"/>
      <c r="B143" s="297"/>
      <c r="C143" s="297"/>
      <c r="D143" s="297"/>
      <c r="E143" s="17"/>
      <c r="F143" s="297"/>
      <c r="G143" s="2" t="s">
        <v>19</v>
      </c>
      <c r="H143" s="9">
        <f>K141</f>
        <v>10164</v>
      </c>
      <c r="I143" s="4" t="s">
        <v>40</v>
      </c>
      <c r="J143" s="48">
        <f>J141/J142</f>
        <v>484</v>
      </c>
      <c r="K143" s="48">
        <f>K141/K142</f>
        <v>484</v>
      </c>
    </row>
    <row r="144" spans="1:11" ht="102" customHeight="1" x14ac:dyDescent="0.2">
      <c r="A144" s="70"/>
      <c r="B144" s="297"/>
      <c r="C144" s="302"/>
      <c r="D144" s="302"/>
      <c r="E144" s="129"/>
      <c r="F144" s="302"/>
      <c r="G144" s="130"/>
      <c r="H144" s="68"/>
      <c r="I144" s="55" t="s">
        <v>240</v>
      </c>
      <c r="J144" s="48">
        <v>100</v>
      </c>
      <c r="K144" s="48">
        <v>100</v>
      </c>
    </row>
    <row r="145" spans="1:11" ht="63.75" customHeight="1" x14ac:dyDescent="0.2">
      <c r="A145" s="70"/>
      <c r="B145" s="14" t="s">
        <v>300</v>
      </c>
      <c r="C145" s="319" t="s">
        <v>301</v>
      </c>
      <c r="D145" s="295" t="s">
        <v>14</v>
      </c>
      <c r="E145" s="285" t="s">
        <v>207</v>
      </c>
      <c r="F145" s="273" t="s">
        <v>52</v>
      </c>
      <c r="G145" s="131" t="s">
        <v>15</v>
      </c>
      <c r="H145" s="3">
        <f>SUM(H146:H147)</f>
        <v>7856.4000000000005</v>
      </c>
      <c r="I145" s="4" t="s">
        <v>38</v>
      </c>
      <c r="J145" s="48">
        <f>10064.6-J163-2007.5</f>
        <v>3657.1000000000004</v>
      </c>
      <c r="K145" s="48">
        <f>11247.6-K163-2208.3</f>
        <v>4199.3</v>
      </c>
    </row>
    <row r="146" spans="1:11" ht="56.25" customHeight="1" x14ac:dyDescent="0.2">
      <c r="A146" s="70"/>
      <c r="B146" s="15"/>
      <c r="C146" s="319"/>
      <c r="D146" s="295"/>
      <c r="E146" s="286"/>
      <c r="F146" s="274"/>
      <c r="G146" s="131" t="s">
        <v>17</v>
      </c>
      <c r="H146" s="3">
        <f>J145</f>
        <v>3657.1000000000004</v>
      </c>
      <c r="I146" s="4" t="s">
        <v>265</v>
      </c>
      <c r="J146" s="8">
        <v>35</v>
      </c>
      <c r="K146" s="8">
        <v>35</v>
      </c>
    </row>
    <row r="147" spans="1:11" ht="56.25" customHeight="1" x14ac:dyDescent="0.2">
      <c r="A147" s="70"/>
      <c r="B147" s="15"/>
      <c r="C147" s="319"/>
      <c r="D147" s="295"/>
      <c r="E147" s="286"/>
      <c r="F147" s="274"/>
      <c r="G147" s="131" t="s">
        <v>19</v>
      </c>
      <c r="H147" s="9">
        <f>K145</f>
        <v>4199.3</v>
      </c>
      <c r="I147" s="132" t="s">
        <v>362</v>
      </c>
      <c r="J147" s="133">
        <f>J148+J149</f>
        <v>298190</v>
      </c>
      <c r="K147" s="134">
        <f>K148+K149</f>
        <v>298190</v>
      </c>
    </row>
    <row r="148" spans="1:11" ht="21.75" customHeight="1" x14ac:dyDescent="0.2">
      <c r="A148" s="70"/>
      <c r="B148" s="15"/>
      <c r="C148" s="319"/>
      <c r="D148" s="295"/>
      <c r="E148" s="286"/>
      <c r="F148" s="274"/>
      <c r="G148" s="135"/>
      <c r="H148" s="136"/>
      <c r="I148" s="92" t="s">
        <v>111</v>
      </c>
      <c r="J148" s="8">
        <v>149990</v>
      </c>
      <c r="K148" s="8">
        <v>149990</v>
      </c>
    </row>
    <row r="149" spans="1:11" ht="20.25" customHeight="1" x14ac:dyDescent="0.2">
      <c r="A149" s="70"/>
      <c r="B149" s="15"/>
      <c r="C149" s="319"/>
      <c r="D149" s="295"/>
      <c r="E149" s="286"/>
      <c r="F149" s="274"/>
      <c r="G149" s="135"/>
      <c r="H149" s="136"/>
      <c r="I149" s="92" t="s">
        <v>112</v>
      </c>
      <c r="J149" s="8">
        <v>148200</v>
      </c>
      <c r="K149" s="8">
        <v>148200</v>
      </c>
    </row>
    <row r="150" spans="1:11" ht="65.25" customHeight="1" x14ac:dyDescent="0.2">
      <c r="A150" s="70"/>
      <c r="B150" s="15"/>
      <c r="C150" s="319"/>
      <c r="D150" s="295"/>
      <c r="E150" s="286"/>
      <c r="F150" s="274"/>
      <c r="G150" s="137"/>
      <c r="H150" s="138"/>
      <c r="I150" s="93" t="s">
        <v>266</v>
      </c>
      <c r="J150" s="48">
        <f>J145/J146</f>
        <v>104.48857142857143</v>
      </c>
      <c r="K150" s="48">
        <f>K145/K146</f>
        <v>119.98</v>
      </c>
    </row>
    <row r="151" spans="1:11" ht="48" customHeight="1" x14ac:dyDescent="0.2">
      <c r="A151" s="70"/>
      <c r="B151" s="15"/>
      <c r="C151" s="319"/>
      <c r="D151" s="295"/>
      <c r="E151" s="287"/>
      <c r="F151" s="275"/>
      <c r="G151" s="139"/>
      <c r="H151" s="140"/>
      <c r="I151" s="92" t="s">
        <v>238</v>
      </c>
      <c r="J151" s="48">
        <v>100</v>
      </c>
      <c r="K151" s="48">
        <v>100</v>
      </c>
    </row>
    <row r="152" spans="1:11" ht="56.25" customHeight="1" x14ac:dyDescent="0.2">
      <c r="A152" s="414"/>
      <c r="B152" s="274" t="s">
        <v>302</v>
      </c>
      <c r="C152" s="295" t="s">
        <v>303</v>
      </c>
      <c r="D152" s="295" t="s">
        <v>14</v>
      </c>
      <c r="E152" s="273" t="s">
        <v>129</v>
      </c>
      <c r="F152" s="273" t="s">
        <v>52</v>
      </c>
      <c r="G152" s="2" t="s">
        <v>15</v>
      </c>
      <c r="H152" s="3">
        <f>SUM(H153:H156)</f>
        <v>19589.900000000001</v>
      </c>
      <c r="I152" s="4" t="s">
        <v>38</v>
      </c>
      <c r="J152" s="48">
        <f>7321+2007.5</f>
        <v>9328.5</v>
      </c>
      <c r="K152" s="48">
        <f>8053.1+2208.3</f>
        <v>10261.400000000001</v>
      </c>
    </row>
    <row r="153" spans="1:11" ht="56.25" customHeight="1" x14ac:dyDescent="0.2">
      <c r="A153" s="414"/>
      <c r="B153" s="399"/>
      <c r="C153" s="295"/>
      <c r="D153" s="295"/>
      <c r="E153" s="274"/>
      <c r="F153" s="274"/>
      <c r="G153" s="2" t="s">
        <v>17</v>
      </c>
      <c r="H153" s="3">
        <f>J152</f>
        <v>9328.5</v>
      </c>
      <c r="I153" s="4" t="s">
        <v>102</v>
      </c>
      <c r="J153" s="8">
        <v>16</v>
      </c>
      <c r="K153" s="8">
        <v>16</v>
      </c>
    </row>
    <row r="154" spans="1:11" ht="57.75" customHeight="1" x14ac:dyDescent="0.2">
      <c r="A154" s="70"/>
      <c r="B154" s="399"/>
      <c r="C154" s="295"/>
      <c r="D154" s="295"/>
      <c r="E154" s="274"/>
      <c r="F154" s="274"/>
      <c r="G154" s="2" t="s">
        <v>19</v>
      </c>
      <c r="H154" s="9">
        <f>K152</f>
        <v>10261.400000000001</v>
      </c>
      <c r="I154" s="132" t="s">
        <v>362</v>
      </c>
      <c r="J154" s="133">
        <f>J155+J156</f>
        <v>4000</v>
      </c>
      <c r="K154" s="133">
        <f>K155+K156</f>
        <v>5000</v>
      </c>
    </row>
    <row r="155" spans="1:11" ht="42" customHeight="1" x14ac:dyDescent="0.2">
      <c r="A155" s="70"/>
      <c r="B155" s="399"/>
      <c r="C155" s="295"/>
      <c r="D155" s="295"/>
      <c r="E155" s="274"/>
      <c r="F155" s="274"/>
      <c r="G155" s="267"/>
      <c r="H155" s="402"/>
      <c r="I155" s="92" t="s">
        <v>111</v>
      </c>
      <c r="J155" s="8" t="s">
        <v>113</v>
      </c>
      <c r="K155" s="8" t="s">
        <v>115</v>
      </c>
    </row>
    <row r="156" spans="1:11" ht="25.5" customHeight="1" x14ac:dyDescent="0.2">
      <c r="A156" s="70"/>
      <c r="B156" s="399"/>
      <c r="C156" s="295"/>
      <c r="D156" s="295"/>
      <c r="E156" s="274"/>
      <c r="F156" s="274"/>
      <c r="G156" s="403"/>
      <c r="H156" s="404"/>
      <c r="I156" s="92" t="s">
        <v>112</v>
      </c>
      <c r="J156" s="8" t="s">
        <v>114</v>
      </c>
      <c r="K156" s="8" t="s">
        <v>116</v>
      </c>
    </row>
    <row r="157" spans="1:11" ht="83.25" customHeight="1" x14ac:dyDescent="0.2">
      <c r="A157" s="70"/>
      <c r="B157" s="399"/>
      <c r="C157" s="295"/>
      <c r="D157" s="295"/>
      <c r="E157" s="274"/>
      <c r="F157" s="274"/>
      <c r="G157" s="403"/>
      <c r="H157" s="404"/>
      <c r="I157" s="76" t="s">
        <v>326</v>
      </c>
      <c r="J157" s="48">
        <f>J152/J154</f>
        <v>2.332125</v>
      </c>
      <c r="K157" s="48">
        <f>K152/K154</f>
        <v>2.0522800000000001</v>
      </c>
    </row>
    <row r="158" spans="1:11" ht="79.5" customHeight="1" x14ac:dyDescent="0.2">
      <c r="A158" s="70"/>
      <c r="B158" s="399"/>
      <c r="C158" s="295"/>
      <c r="D158" s="295"/>
      <c r="E158" s="274"/>
      <c r="F158" s="407"/>
      <c r="G158" s="405"/>
      <c r="H158" s="406"/>
      <c r="I158" s="92" t="s">
        <v>163</v>
      </c>
      <c r="J158" s="48">
        <v>100</v>
      </c>
      <c r="K158" s="48">
        <f>K154/J154*100</f>
        <v>125</v>
      </c>
    </row>
    <row r="159" spans="1:11" ht="56.25" customHeight="1" x14ac:dyDescent="0.2">
      <c r="A159" s="378"/>
      <c r="B159" s="415"/>
      <c r="C159" s="295" t="s">
        <v>304</v>
      </c>
      <c r="D159" s="295" t="s">
        <v>14</v>
      </c>
      <c r="E159" s="273" t="s">
        <v>248</v>
      </c>
      <c r="F159" s="273" t="s">
        <v>52</v>
      </c>
      <c r="G159" s="2" t="s">
        <v>15</v>
      </c>
      <c r="H159" s="3">
        <f>SUM(H160:H161)</f>
        <v>64449</v>
      </c>
      <c r="I159" s="4" t="s">
        <v>38</v>
      </c>
      <c r="J159" s="48">
        <v>30690</v>
      </c>
      <c r="K159" s="48">
        <f>J159*1.1</f>
        <v>33759</v>
      </c>
    </row>
    <row r="160" spans="1:11" ht="67.5" customHeight="1" x14ac:dyDescent="0.2">
      <c r="A160" s="378"/>
      <c r="B160" s="415"/>
      <c r="C160" s="295"/>
      <c r="D160" s="295"/>
      <c r="E160" s="274"/>
      <c r="F160" s="274"/>
      <c r="G160" s="2" t="s">
        <v>17</v>
      </c>
      <c r="H160" s="3">
        <f>J159</f>
        <v>30690</v>
      </c>
      <c r="I160" s="4" t="s">
        <v>177</v>
      </c>
      <c r="J160" s="34">
        <v>10100</v>
      </c>
      <c r="K160" s="8">
        <v>10230</v>
      </c>
    </row>
    <row r="161" spans="1:11" ht="75.75" customHeight="1" x14ac:dyDescent="0.2">
      <c r="A161" s="70"/>
      <c r="B161" s="141"/>
      <c r="C161" s="295"/>
      <c r="D161" s="295"/>
      <c r="E161" s="274"/>
      <c r="F161" s="274"/>
      <c r="G161" s="2" t="s">
        <v>19</v>
      </c>
      <c r="H161" s="9">
        <f>K159</f>
        <v>33759</v>
      </c>
      <c r="I161" s="4" t="s">
        <v>178</v>
      </c>
      <c r="J161" s="48">
        <f>J159/J160</f>
        <v>3.0386138613861386</v>
      </c>
      <c r="K161" s="48">
        <f>K159/K160</f>
        <v>3.3</v>
      </c>
    </row>
    <row r="162" spans="1:11" ht="69.75" customHeight="1" x14ac:dyDescent="0.2">
      <c r="A162" s="70"/>
      <c r="B162" s="141"/>
      <c r="C162" s="273"/>
      <c r="D162" s="273"/>
      <c r="E162" s="274"/>
      <c r="F162" s="274"/>
      <c r="G162" s="10"/>
      <c r="H162" s="11"/>
      <c r="I162" s="92" t="s">
        <v>267</v>
      </c>
      <c r="J162" s="48">
        <v>100</v>
      </c>
      <c r="K162" s="48">
        <f>K160/J160*100</f>
        <v>101.28712871287129</v>
      </c>
    </row>
    <row r="163" spans="1:11" ht="41.25" customHeight="1" x14ac:dyDescent="0.2">
      <c r="A163" s="378"/>
      <c r="B163" s="141"/>
      <c r="C163" s="295" t="s">
        <v>305</v>
      </c>
      <c r="D163" s="295" t="s">
        <v>14</v>
      </c>
      <c r="E163" s="273" t="s">
        <v>249</v>
      </c>
      <c r="F163" s="273" t="s">
        <v>52</v>
      </c>
      <c r="G163" s="2" t="s">
        <v>15</v>
      </c>
      <c r="H163" s="3">
        <f>SUM(H164:H165)</f>
        <v>9240</v>
      </c>
      <c r="I163" s="4" t="s">
        <v>38</v>
      </c>
      <c r="J163" s="48">
        <v>4400</v>
      </c>
      <c r="K163" s="48">
        <v>4840</v>
      </c>
    </row>
    <row r="164" spans="1:11" ht="41.25" customHeight="1" x14ac:dyDescent="0.2">
      <c r="A164" s="378"/>
      <c r="B164" s="141"/>
      <c r="C164" s="295"/>
      <c r="D164" s="295"/>
      <c r="E164" s="274"/>
      <c r="F164" s="274"/>
      <c r="G164" s="2" t="s">
        <v>17</v>
      </c>
      <c r="H164" s="3">
        <f>J163</f>
        <v>4400</v>
      </c>
      <c r="I164" s="4" t="s">
        <v>140</v>
      </c>
      <c r="J164" s="8">
        <v>5</v>
      </c>
      <c r="K164" s="8">
        <v>5</v>
      </c>
    </row>
    <row r="165" spans="1:11" ht="83.25" customHeight="1" x14ac:dyDescent="0.2">
      <c r="A165" s="70"/>
      <c r="B165" s="141"/>
      <c r="C165" s="295"/>
      <c r="D165" s="295"/>
      <c r="E165" s="274"/>
      <c r="F165" s="274"/>
      <c r="G165" s="2" t="s">
        <v>19</v>
      </c>
      <c r="H165" s="9">
        <f>K163</f>
        <v>4840</v>
      </c>
      <c r="I165" s="4" t="s">
        <v>69</v>
      </c>
      <c r="J165" s="48">
        <f>J163/J164</f>
        <v>880</v>
      </c>
      <c r="K165" s="48">
        <v>968</v>
      </c>
    </row>
    <row r="166" spans="1:11" ht="49.5" customHeight="1" x14ac:dyDescent="0.2">
      <c r="A166" s="70"/>
      <c r="B166" s="141"/>
      <c r="C166" s="295"/>
      <c r="D166" s="295"/>
      <c r="E166" s="275"/>
      <c r="F166" s="275"/>
      <c r="G166" s="10"/>
      <c r="H166" s="11"/>
      <c r="I166" s="55" t="s">
        <v>238</v>
      </c>
      <c r="J166" s="8">
        <v>100</v>
      </c>
      <c r="K166" s="8">
        <v>100</v>
      </c>
    </row>
    <row r="167" spans="1:11" ht="56.25" customHeight="1" x14ac:dyDescent="0.2">
      <c r="A167" s="70"/>
      <c r="B167" s="273"/>
      <c r="C167" s="285" t="s">
        <v>306</v>
      </c>
      <c r="D167" s="295" t="s">
        <v>14</v>
      </c>
      <c r="E167" s="319" t="s">
        <v>130</v>
      </c>
      <c r="F167" s="273" t="s">
        <v>52</v>
      </c>
      <c r="G167" s="131" t="s">
        <v>15</v>
      </c>
      <c r="H167" s="3">
        <f>SUM(H168:H169)</f>
        <v>4592.5</v>
      </c>
      <c r="I167" s="4" t="s">
        <v>38</v>
      </c>
      <c r="J167" s="96">
        <v>2107</v>
      </c>
      <c r="K167" s="142">
        <v>2485.5</v>
      </c>
    </row>
    <row r="168" spans="1:11" ht="56.25" customHeight="1" x14ac:dyDescent="0.2">
      <c r="A168" s="70"/>
      <c r="B168" s="297"/>
      <c r="C168" s="297"/>
      <c r="D168" s="295"/>
      <c r="E168" s="319"/>
      <c r="F168" s="274"/>
      <c r="G168" s="131" t="s">
        <v>17</v>
      </c>
      <c r="H168" s="3">
        <f>J167</f>
        <v>2107</v>
      </c>
      <c r="I168" s="4" t="s">
        <v>102</v>
      </c>
      <c r="J168" s="142">
        <v>17</v>
      </c>
      <c r="K168" s="142">
        <v>17</v>
      </c>
    </row>
    <row r="169" spans="1:11" ht="51" customHeight="1" x14ac:dyDescent="0.2">
      <c r="A169" s="70"/>
      <c r="B169" s="297"/>
      <c r="C169" s="297"/>
      <c r="D169" s="295"/>
      <c r="E169" s="319"/>
      <c r="F169" s="274"/>
      <c r="G169" s="2" t="s">
        <v>19</v>
      </c>
      <c r="H169" s="9">
        <f>K167</f>
        <v>2485.5</v>
      </c>
      <c r="I169" s="92" t="s">
        <v>363</v>
      </c>
      <c r="J169" s="142">
        <v>25</v>
      </c>
      <c r="K169" s="142">
        <v>40</v>
      </c>
    </row>
    <row r="170" spans="1:11" ht="83.25" customHeight="1" x14ac:dyDescent="0.2">
      <c r="A170" s="70"/>
      <c r="B170" s="297"/>
      <c r="C170" s="297"/>
      <c r="D170" s="295"/>
      <c r="E170" s="319"/>
      <c r="F170" s="274"/>
      <c r="G170" s="143"/>
      <c r="H170" s="138"/>
      <c r="I170" s="93" t="s">
        <v>69</v>
      </c>
      <c r="J170" s="48">
        <f>J167/J168</f>
        <v>123.94117647058823</v>
      </c>
      <c r="K170" s="48">
        <f>K167/K168</f>
        <v>146.20588235294119</v>
      </c>
    </row>
    <row r="171" spans="1:11" ht="74.25" customHeight="1" x14ac:dyDescent="0.2">
      <c r="A171" s="70"/>
      <c r="B171" s="302"/>
      <c r="C171" s="302"/>
      <c r="D171" s="295"/>
      <c r="E171" s="319"/>
      <c r="F171" s="275"/>
      <c r="G171" s="144"/>
      <c r="H171" s="145"/>
      <c r="I171" s="92" t="s">
        <v>268</v>
      </c>
      <c r="J171" s="48">
        <v>100</v>
      </c>
      <c r="K171" s="48">
        <f>K169/J169*100</f>
        <v>160</v>
      </c>
    </row>
    <row r="172" spans="1:11" ht="22.5" customHeight="1" x14ac:dyDescent="0.2">
      <c r="A172" s="146"/>
      <c r="B172" s="280" t="s">
        <v>164</v>
      </c>
      <c r="C172" s="306"/>
      <c r="D172" s="104"/>
      <c r="E172" s="82" t="s">
        <v>15</v>
      </c>
      <c r="F172" s="83">
        <f>SUM(F173:F174)</f>
        <v>126055.79999999999</v>
      </c>
      <c r="G172" s="147"/>
      <c r="H172" s="148"/>
      <c r="I172" s="126"/>
      <c r="J172" s="128"/>
      <c r="K172" s="128"/>
    </row>
    <row r="173" spans="1:11" ht="19.5" customHeight="1" x14ac:dyDescent="0.25">
      <c r="A173" s="70"/>
      <c r="B173" s="307"/>
      <c r="C173" s="308"/>
      <c r="D173" s="85"/>
      <c r="E173" s="86" t="s">
        <v>17</v>
      </c>
      <c r="F173" s="87">
        <f>H142+H146+H153+H160+H164+H168</f>
        <v>60346.6</v>
      </c>
      <c r="G173" s="147"/>
      <c r="H173" s="148"/>
      <c r="I173" s="126"/>
      <c r="J173" s="128"/>
      <c r="K173" s="128"/>
    </row>
    <row r="174" spans="1:11" ht="18" customHeight="1" x14ac:dyDescent="0.25">
      <c r="A174" s="70"/>
      <c r="B174" s="309"/>
      <c r="C174" s="310"/>
      <c r="D174" s="90"/>
      <c r="E174" s="82" t="s">
        <v>19</v>
      </c>
      <c r="F174" s="87">
        <f>H143+H147+H154+H161+H165+H169</f>
        <v>65709.2</v>
      </c>
      <c r="G174" s="147"/>
      <c r="H174" s="148"/>
      <c r="I174" s="126"/>
      <c r="J174" s="128"/>
      <c r="K174" s="128"/>
    </row>
    <row r="175" spans="1:11" ht="18" customHeight="1" x14ac:dyDescent="0.25">
      <c r="A175" s="382" t="s">
        <v>149</v>
      </c>
      <c r="B175" s="408"/>
      <c r="C175" s="408"/>
      <c r="D175" s="408"/>
      <c r="E175" s="408"/>
      <c r="F175" s="408"/>
      <c r="G175" s="408"/>
      <c r="H175" s="408"/>
      <c r="I175" s="408"/>
      <c r="J175" s="408"/>
      <c r="K175" s="408"/>
    </row>
    <row r="176" spans="1:11" ht="56.25" customHeight="1" x14ac:dyDescent="0.2">
      <c r="A176" s="296" t="s">
        <v>61</v>
      </c>
      <c r="B176" s="296" t="s">
        <v>307</v>
      </c>
      <c r="C176" s="286" t="s">
        <v>371</v>
      </c>
      <c r="D176" s="274">
        <v>2024</v>
      </c>
      <c r="E176" s="286" t="s">
        <v>94</v>
      </c>
      <c r="F176" s="275" t="s">
        <v>52</v>
      </c>
      <c r="G176" s="149" t="s">
        <v>15</v>
      </c>
      <c r="H176" s="150">
        <f>SUM(H177:H180)</f>
        <v>1502.4</v>
      </c>
      <c r="I176" s="151" t="s">
        <v>38</v>
      </c>
      <c r="J176" s="152">
        <v>951.2</v>
      </c>
      <c r="K176" s="48">
        <v>551.20000000000005</v>
      </c>
    </row>
    <row r="177" spans="1:11" ht="90" customHeight="1" x14ac:dyDescent="0.2">
      <c r="A177" s="272"/>
      <c r="B177" s="297"/>
      <c r="C177" s="286"/>
      <c r="D177" s="274"/>
      <c r="E177" s="286"/>
      <c r="F177" s="295"/>
      <c r="G177" s="2" t="s">
        <v>17</v>
      </c>
      <c r="H177" s="3">
        <f>J176</f>
        <v>951.2</v>
      </c>
      <c r="I177" s="69" t="s">
        <v>372</v>
      </c>
      <c r="J177" s="8">
        <v>1920</v>
      </c>
      <c r="K177" s="48">
        <v>2880</v>
      </c>
    </row>
    <row r="178" spans="1:11" ht="56.25" customHeight="1" x14ac:dyDescent="0.2">
      <c r="A178" s="272"/>
      <c r="B178" s="297"/>
      <c r="C178" s="286"/>
      <c r="D178" s="274"/>
      <c r="E178" s="286"/>
      <c r="F178" s="295"/>
      <c r="G178" s="67" t="s">
        <v>19</v>
      </c>
      <c r="H178" s="153">
        <f>K176</f>
        <v>551.20000000000005</v>
      </c>
      <c r="I178" s="154" t="s">
        <v>377</v>
      </c>
      <c r="J178" s="8">
        <v>2</v>
      </c>
      <c r="K178" s="8">
        <v>1</v>
      </c>
    </row>
    <row r="179" spans="1:11" ht="111" customHeight="1" x14ac:dyDescent="0.2">
      <c r="A179" s="272"/>
      <c r="B179" s="297"/>
      <c r="C179" s="286"/>
      <c r="D179" s="274"/>
      <c r="E179" s="286"/>
      <c r="F179" s="295"/>
      <c r="G179" s="409"/>
      <c r="H179" s="268"/>
      <c r="I179" s="69" t="s">
        <v>374</v>
      </c>
      <c r="J179" s="96">
        <f>J176/J177</f>
        <v>0.49541666666666667</v>
      </c>
      <c r="K179" s="96">
        <f>K176/K177</f>
        <v>0.19138888888888891</v>
      </c>
    </row>
    <row r="180" spans="1:11" ht="80.25" customHeight="1" x14ac:dyDescent="0.2">
      <c r="A180" s="272"/>
      <c r="B180" s="297"/>
      <c r="C180" s="286"/>
      <c r="D180" s="274"/>
      <c r="E180" s="286"/>
      <c r="F180" s="295"/>
      <c r="G180" s="282"/>
      <c r="H180" s="358"/>
      <c r="I180" s="69" t="s">
        <v>373</v>
      </c>
      <c r="J180" s="48">
        <f>J176/J178</f>
        <v>475.6</v>
      </c>
      <c r="K180" s="48">
        <f>K176/1</f>
        <v>551.20000000000005</v>
      </c>
    </row>
    <row r="181" spans="1:11" ht="111.75" customHeight="1" x14ac:dyDescent="0.2">
      <c r="A181" s="272"/>
      <c r="B181" s="297"/>
      <c r="C181" s="286"/>
      <c r="D181" s="274"/>
      <c r="E181" s="286"/>
      <c r="F181" s="295"/>
      <c r="G181" s="282"/>
      <c r="H181" s="358"/>
      <c r="I181" s="154" t="s">
        <v>376</v>
      </c>
      <c r="J181" s="48">
        <v>100</v>
      </c>
      <c r="K181" s="48">
        <f>K177/J177*100</f>
        <v>150</v>
      </c>
    </row>
    <row r="182" spans="1:11" ht="146.25" customHeight="1" x14ac:dyDescent="0.2">
      <c r="A182" s="272"/>
      <c r="B182" s="297"/>
      <c r="C182" s="287"/>
      <c r="D182" s="275"/>
      <c r="E182" s="287"/>
      <c r="F182" s="295"/>
      <c r="G182" s="269"/>
      <c r="H182" s="270"/>
      <c r="I182" s="155" t="s">
        <v>375</v>
      </c>
      <c r="J182" s="96">
        <v>70</v>
      </c>
      <c r="K182" s="96">
        <v>100</v>
      </c>
    </row>
    <row r="183" spans="1:11" ht="40.5" customHeight="1" x14ac:dyDescent="0.2">
      <c r="A183" s="272"/>
      <c r="B183" s="297"/>
      <c r="C183" s="273" t="s">
        <v>383</v>
      </c>
      <c r="D183" s="273" t="s">
        <v>14</v>
      </c>
      <c r="E183" s="285" t="s">
        <v>382</v>
      </c>
      <c r="F183" s="273" t="s">
        <v>52</v>
      </c>
      <c r="G183" s="2" t="s">
        <v>15</v>
      </c>
      <c r="H183" s="3">
        <f>SUM(H184:H185)</f>
        <v>15000</v>
      </c>
      <c r="I183" s="4" t="s">
        <v>38</v>
      </c>
      <c r="J183" s="96">
        <v>8336</v>
      </c>
      <c r="K183" s="96">
        <v>6664</v>
      </c>
    </row>
    <row r="184" spans="1:11" ht="51.75" customHeight="1" x14ac:dyDescent="0.2">
      <c r="A184" s="272"/>
      <c r="B184" s="297"/>
      <c r="C184" s="297"/>
      <c r="D184" s="274"/>
      <c r="E184" s="286"/>
      <c r="F184" s="274"/>
      <c r="G184" s="2" t="s">
        <v>17</v>
      </c>
      <c r="H184" s="3">
        <f>J183</f>
        <v>8336</v>
      </c>
      <c r="I184" s="4" t="s">
        <v>210</v>
      </c>
      <c r="J184" s="8">
        <v>180985</v>
      </c>
      <c r="K184" s="8">
        <v>180985</v>
      </c>
    </row>
    <row r="185" spans="1:11" ht="51" x14ac:dyDescent="0.2">
      <c r="A185" s="272"/>
      <c r="B185" s="297"/>
      <c r="C185" s="297"/>
      <c r="D185" s="274"/>
      <c r="E185" s="286"/>
      <c r="F185" s="274"/>
      <c r="G185" s="2" t="s">
        <v>19</v>
      </c>
      <c r="H185" s="9">
        <f>K183</f>
        <v>6664</v>
      </c>
      <c r="I185" s="93" t="s">
        <v>211</v>
      </c>
      <c r="J185" s="156">
        <f>J183/J184</f>
        <v>4.6059065668425561E-2</v>
      </c>
      <c r="K185" s="156">
        <f>K183/K184</f>
        <v>3.6820730999806615E-2</v>
      </c>
    </row>
    <row r="186" spans="1:11" ht="39" customHeight="1" x14ac:dyDescent="0.2">
      <c r="A186" s="272"/>
      <c r="B186" s="297"/>
      <c r="C186" s="297"/>
      <c r="D186" s="274"/>
      <c r="E186" s="286"/>
      <c r="F186" s="274"/>
      <c r="G186" s="267"/>
      <c r="H186" s="268"/>
      <c r="I186" s="55" t="s">
        <v>327</v>
      </c>
      <c r="J186" s="96">
        <v>100</v>
      </c>
      <c r="K186" s="96"/>
    </row>
    <row r="187" spans="1:11" ht="75" customHeight="1" x14ac:dyDescent="0.2">
      <c r="A187" s="272"/>
      <c r="B187" s="297"/>
      <c r="C187" s="302"/>
      <c r="D187" s="275"/>
      <c r="E187" s="287"/>
      <c r="F187" s="275"/>
      <c r="G187" s="269"/>
      <c r="H187" s="270"/>
      <c r="I187" s="102" t="s">
        <v>364</v>
      </c>
      <c r="J187" s="96">
        <v>70</v>
      </c>
      <c r="K187" s="96">
        <v>100</v>
      </c>
    </row>
    <row r="188" spans="1:11" ht="22.5" customHeight="1" x14ac:dyDescent="0.2">
      <c r="A188" s="157"/>
      <c r="B188" s="280" t="s">
        <v>165</v>
      </c>
      <c r="C188" s="306"/>
      <c r="D188" s="158"/>
      <c r="E188" s="159" t="s">
        <v>15</v>
      </c>
      <c r="F188" s="160">
        <f>F189+F190</f>
        <v>16502.400000000001</v>
      </c>
      <c r="G188" s="410"/>
      <c r="H188" s="281"/>
      <c r="I188" s="281"/>
      <c r="J188" s="125"/>
      <c r="K188" s="125"/>
    </row>
    <row r="189" spans="1:11" ht="24" customHeight="1" x14ac:dyDescent="0.25">
      <c r="A189" s="157"/>
      <c r="B189" s="307"/>
      <c r="C189" s="308"/>
      <c r="D189" s="161"/>
      <c r="E189" s="159" t="s">
        <v>17</v>
      </c>
      <c r="F189" s="162">
        <f>H177+H184</f>
        <v>9287.2000000000007</v>
      </c>
      <c r="G189" s="283"/>
      <c r="H189" s="411"/>
      <c r="I189" s="411"/>
      <c r="J189" s="128"/>
      <c r="K189" s="128"/>
    </row>
    <row r="190" spans="1:11" ht="21" customHeight="1" x14ac:dyDescent="0.25">
      <c r="A190" s="157"/>
      <c r="B190" s="309"/>
      <c r="C190" s="310"/>
      <c r="D190" s="163"/>
      <c r="E190" s="159" t="s">
        <v>19</v>
      </c>
      <c r="F190" s="162">
        <f>H178+H185</f>
        <v>7215.2</v>
      </c>
      <c r="G190" s="284"/>
      <c r="H190" s="284"/>
      <c r="I190" s="284"/>
      <c r="J190" s="164"/>
      <c r="K190" s="164"/>
    </row>
    <row r="191" spans="1:11" ht="22.9" customHeight="1" x14ac:dyDescent="0.2">
      <c r="A191" s="70"/>
      <c r="B191" s="326" t="s">
        <v>95</v>
      </c>
      <c r="C191" s="327"/>
      <c r="D191" s="327"/>
      <c r="E191" s="327"/>
      <c r="F191" s="328"/>
      <c r="G191" s="165" t="s">
        <v>15</v>
      </c>
      <c r="H191" s="166">
        <f>SUM(H192:H193)</f>
        <v>579070</v>
      </c>
      <c r="I191" s="359"/>
      <c r="J191" s="360"/>
      <c r="K191" s="361"/>
    </row>
    <row r="192" spans="1:11" ht="24.75" customHeight="1" x14ac:dyDescent="0.2">
      <c r="A192" s="70"/>
      <c r="B192" s="326"/>
      <c r="C192" s="329"/>
      <c r="D192" s="329"/>
      <c r="E192" s="329"/>
      <c r="F192" s="329"/>
      <c r="G192" s="86" t="s">
        <v>17</v>
      </c>
      <c r="H192" s="87">
        <f>SUM(H70+H78+H87+H91+H98+H106+H110+H121+H125+H129+H134+H142+H146+H153+H160+H164+H168+H177+H184)+H74+H102</f>
        <v>302977.39999999997</v>
      </c>
      <c r="I192" s="333"/>
      <c r="J192" s="333"/>
      <c r="K192" s="334"/>
    </row>
    <row r="193" spans="1:11" ht="26.25" customHeight="1" x14ac:dyDescent="0.2">
      <c r="A193" s="167"/>
      <c r="B193" s="330"/>
      <c r="C193" s="331"/>
      <c r="D193" s="331"/>
      <c r="E193" s="331"/>
      <c r="F193" s="332"/>
      <c r="G193" s="86" t="s">
        <v>19</v>
      </c>
      <c r="H193" s="87">
        <f>SUM(H71+H88+H92+H99+H107+H111+H122+H126+H135+H143+H147+H154+H161+H165+H169+H180+H185)+H75+H103+H131+H80+H178</f>
        <v>276092.60000000003</v>
      </c>
      <c r="I193" s="303"/>
      <c r="J193" s="304"/>
      <c r="K193" s="305"/>
    </row>
    <row r="194" spans="1:11" ht="42" customHeight="1" x14ac:dyDescent="0.2">
      <c r="A194" s="168"/>
      <c r="B194" s="169"/>
      <c r="C194" s="169"/>
      <c r="D194" s="169"/>
      <c r="E194" s="169"/>
      <c r="F194" s="169"/>
      <c r="G194" s="65" t="s">
        <v>52</v>
      </c>
      <c r="H194" s="3">
        <f>H191</f>
        <v>579070</v>
      </c>
      <c r="I194" s="170"/>
      <c r="J194" s="170"/>
      <c r="K194" s="170"/>
    </row>
    <row r="195" spans="1:11" ht="21" customHeight="1" x14ac:dyDescent="0.2">
      <c r="A195" s="168"/>
      <c r="B195" s="169"/>
      <c r="C195" s="169"/>
      <c r="D195" s="169"/>
      <c r="E195" s="169"/>
      <c r="F195" s="169"/>
      <c r="G195" s="67" t="s">
        <v>17</v>
      </c>
      <c r="H195" s="68">
        <f>H192</f>
        <v>302977.39999999997</v>
      </c>
      <c r="I195" s="170"/>
      <c r="J195" s="170"/>
      <c r="K195" s="170"/>
    </row>
    <row r="196" spans="1:11" ht="18" customHeight="1" x14ac:dyDescent="0.2">
      <c r="A196" s="168"/>
      <c r="B196" s="169"/>
      <c r="C196" s="169"/>
      <c r="D196" s="169"/>
      <c r="E196" s="169"/>
      <c r="F196" s="169"/>
      <c r="G196" s="67" t="s">
        <v>19</v>
      </c>
      <c r="H196" s="68">
        <f>H193</f>
        <v>276092.60000000003</v>
      </c>
      <c r="I196" s="171"/>
      <c r="J196" s="171"/>
      <c r="K196" s="171"/>
    </row>
    <row r="197" spans="1:11" ht="16.5" customHeight="1" x14ac:dyDescent="0.2">
      <c r="A197" s="298" t="s">
        <v>166</v>
      </c>
      <c r="B197" s="299"/>
      <c r="C197" s="299"/>
      <c r="D197" s="299"/>
      <c r="E197" s="299"/>
      <c r="F197" s="299"/>
      <c r="G197" s="300"/>
      <c r="H197" s="300"/>
      <c r="I197" s="300"/>
      <c r="J197" s="300"/>
      <c r="K197" s="301"/>
    </row>
    <row r="198" spans="1:11" ht="57.6" customHeight="1" x14ac:dyDescent="0.2">
      <c r="A198" s="273" t="s">
        <v>12</v>
      </c>
      <c r="B198" s="271" t="s">
        <v>120</v>
      </c>
      <c r="C198" s="295" t="s">
        <v>308</v>
      </c>
      <c r="D198" s="295" t="s">
        <v>14</v>
      </c>
      <c r="E198" s="273" t="s">
        <v>93</v>
      </c>
      <c r="F198" s="273" t="s">
        <v>52</v>
      </c>
      <c r="G198" s="2" t="s">
        <v>15</v>
      </c>
      <c r="H198" s="3">
        <f>SUM(H199:H200)</f>
        <v>47717.8</v>
      </c>
      <c r="I198" s="4" t="s">
        <v>38</v>
      </c>
      <c r="J198" s="48">
        <v>22893.9</v>
      </c>
      <c r="K198" s="48">
        <v>24823.9</v>
      </c>
    </row>
    <row r="199" spans="1:11" ht="63.75" x14ac:dyDescent="0.2">
      <c r="A199" s="297"/>
      <c r="B199" s="272"/>
      <c r="C199" s="295"/>
      <c r="D199" s="295"/>
      <c r="E199" s="274"/>
      <c r="F199" s="274"/>
      <c r="G199" s="2" t="s">
        <v>17</v>
      </c>
      <c r="H199" s="3">
        <f>J198</f>
        <v>22893.9</v>
      </c>
      <c r="I199" s="4" t="s">
        <v>179</v>
      </c>
      <c r="J199" s="53">
        <v>48</v>
      </c>
      <c r="K199" s="53">
        <v>50</v>
      </c>
    </row>
    <row r="200" spans="1:11" ht="63.75" x14ac:dyDescent="0.2">
      <c r="A200" s="297"/>
      <c r="B200" s="272"/>
      <c r="C200" s="295"/>
      <c r="D200" s="295"/>
      <c r="E200" s="274"/>
      <c r="F200" s="274"/>
      <c r="G200" s="2" t="s">
        <v>19</v>
      </c>
      <c r="H200" s="9">
        <f>K198</f>
        <v>24823.9</v>
      </c>
      <c r="I200" s="4" t="s">
        <v>50</v>
      </c>
      <c r="J200" s="13">
        <f>J198/J199</f>
        <v>476.95625000000001</v>
      </c>
      <c r="K200" s="13">
        <f>K198/K199</f>
        <v>496.47800000000001</v>
      </c>
    </row>
    <row r="201" spans="1:11" ht="108" customHeight="1" x14ac:dyDescent="0.2">
      <c r="A201" s="297"/>
      <c r="B201" s="91"/>
      <c r="C201" s="295"/>
      <c r="D201" s="295"/>
      <c r="E201" s="275"/>
      <c r="F201" s="275"/>
      <c r="G201" s="10"/>
      <c r="H201" s="11"/>
      <c r="I201" s="55" t="s">
        <v>167</v>
      </c>
      <c r="J201" s="48">
        <v>100</v>
      </c>
      <c r="K201" s="48">
        <f>K199/J199*100</f>
        <v>104.16666666666667</v>
      </c>
    </row>
    <row r="202" spans="1:11" ht="57.75" customHeight="1" x14ac:dyDescent="0.2">
      <c r="A202" s="297"/>
      <c r="B202" s="91"/>
      <c r="C202" s="295" t="s">
        <v>226</v>
      </c>
      <c r="D202" s="295" t="s">
        <v>14</v>
      </c>
      <c r="E202" s="273" t="s">
        <v>93</v>
      </c>
      <c r="F202" s="273" t="s">
        <v>52</v>
      </c>
      <c r="G202" s="2" t="s">
        <v>15</v>
      </c>
      <c r="H202" s="3">
        <f>SUM(H203:H204)</f>
        <v>1678.5</v>
      </c>
      <c r="I202" s="4" t="s">
        <v>38</v>
      </c>
      <c r="J202" s="13">
        <v>868.5</v>
      </c>
      <c r="K202" s="13">
        <v>810</v>
      </c>
    </row>
    <row r="203" spans="1:11" ht="102" customHeight="1" x14ac:dyDescent="0.2">
      <c r="A203" s="297"/>
      <c r="B203" s="91"/>
      <c r="C203" s="295"/>
      <c r="D203" s="295"/>
      <c r="E203" s="274"/>
      <c r="F203" s="274"/>
      <c r="G203" s="2" t="s">
        <v>17</v>
      </c>
      <c r="H203" s="3">
        <f>J202</f>
        <v>868.5</v>
      </c>
      <c r="I203" s="69" t="s">
        <v>241</v>
      </c>
      <c r="J203" s="53">
        <v>49</v>
      </c>
      <c r="K203" s="53">
        <v>49</v>
      </c>
    </row>
    <row r="204" spans="1:11" ht="76.5" x14ac:dyDescent="0.2">
      <c r="A204" s="297"/>
      <c r="B204" s="91"/>
      <c r="C204" s="295"/>
      <c r="D204" s="295"/>
      <c r="E204" s="274"/>
      <c r="F204" s="274"/>
      <c r="G204" s="2" t="s">
        <v>19</v>
      </c>
      <c r="H204" s="9">
        <f>K202</f>
        <v>810</v>
      </c>
      <c r="I204" s="93" t="s">
        <v>51</v>
      </c>
      <c r="J204" s="13">
        <f>J202/J203</f>
        <v>17.724489795918366</v>
      </c>
      <c r="K204" s="13">
        <f>K202/K203</f>
        <v>16.530612244897959</v>
      </c>
    </row>
    <row r="205" spans="1:11" ht="83.25" customHeight="1" x14ac:dyDescent="0.2">
      <c r="A205" s="302"/>
      <c r="B205" s="91"/>
      <c r="C205" s="295"/>
      <c r="D205" s="295"/>
      <c r="E205" s="274"/>
      <c r="F205" s="274"/>
      <c r="G205" s="10"/>
      <c r="H205" s="11"/>
      <c r="I205" s="55" t="s">
        <v>328</v>
      </c>
      <c r="J205" s="48">
        <v>50</v>
      </c>
      <c r="K205" s="48">
        <v>100</v>
      </c>
    </row>
    <row r="206" spans="1:11" ht="40.5" customHeight="1" x14ac:dyDescent="0.2">
      <c r="A206" s="273" t="s">
        <v>61</v>
      </c>
      <c r="B206" s="271" t="s">
        <v>225</v>
      </c>
      <c r="C206" s="273" t="s">
        <v>379</v>
      </c>
      <c r="D206" s="325" t="s">
        <v>14</v>
      </c>
      <c r="E206" s="324" t="s">
        <v>117</v>
      </c>
      <c r="F206" s="295" t="s">
        <v>52</v>
      </c>
      <c r="G206" s="172" t="s">
        <v>15</v>
      </c>
      <c r="H206" s="173">
        <f>SUM(H207:H208)</f>
        <v>2152.8000000000002</v>
      </c>
      <c r="I206" s="4" t="s">
        <v>38</v>
      </c>
      <c r="J206" s="13">
        <v>976.4</v>
      </c>
      <c r="K206" s="13">
        <v>1176.4000000000001</v>
      </c>
    </row>
    <row r="207" spans="1:11" ht="62.25" customHeight="1" x14ac:dyDescent="0.2">
      <c r="A207" s="276"/>
      <c r="B207" s="272"/>
      <c r="C207" s="297"/>
      <c r="D207" s="325"/>
      <c r="E207" s="324"/>
      <c r="F207" s="295"/>
      <c r="G207" s="172" t="s">
        <v>17</v>
      </c>
      <c r="H207" s="173">
        <f>J206</f>
        <v>976.4</v>
      </c>
      <c r="I207" s="4" t="s">
        <v>119</v>
      </c>
      <c r="J207" s="53">
        <v>7</v>
      </c>
      <c r="K207" s="53">
        <v>7</v>
      </c>
    </row>
    <row r="208" spans="1:11" ht="69.75" customHeight="1" x14ac:dyDescent="0.2">
      <c r="A208" s="276"/>
      <c r="B208" s="272"/>
      <c r="C208" s="297"/>
      <c r="D208" s="325"/>
      <c r="E208" s="324"/>
      <c r="F208" s="295"/>
      <c r="G208" s="172" t="s">
        <v>19</v>
      </c>
      <c r="H208" s="5">
        <f>K206</f>
        <v>1176.4000000000001</v>
      </c>
      <c r="I208" s="4" t="s">
        <v>329</v>
      </c>
      <c r="J208" s="13">
        <f>J206/J207</f>
        <v>139.48571428571429</v>
      </c>
      <c r="K208" s="13">
        <f>K206/K207</f>
        <v>168.05714285714288</v>
      </c>
    </row>
    <row r="209" spans="1:11" ht="169.5" customHeight="1" x14ac:dyDescent="0.2">
      <c r="A209" s="276"/>
      <c r="B209" s="272"/>
      <c r="C209" s="302"/>
      <c r="D209" s="325"/>
      <c r="E209" s="324"/>
      <c r="F209" s="295"/>
      <c r="G209" s="174"/>
      <c r="H209" s="175"/>
      <c r="I209" s="102" t="s">
        <v>238</v>
      </c>
      <c r="J209" s="13">
        <v>100</v>
      </c>
      <c r="K209" s="13">
        <v>100</v>
      </c>
    </row>
    <row r="210" spans="1:11" ht="40.5" customHeight="1" x14ac:dyDescent="0.2">
      <c r="A210" s="276"/>
      <c r="B210" s="343" t="s">
        <v>227</v>
      </c>
      <c r="C210" s="295" t="s">
        <v>380</v>
      </c>
      <c r="D210" s="295" t="s">
        <v>14</v>
      </c>
      <c r="E210" s="324" t="s">
        <v>118</v>
      </c>
      <c r="F210" s="295" t="s">
        <v>52</v>
      </c>
      <c r="G210" s="172" t="s">
        <v>15</v>
      </c>
      <c r="H210" s="173">
        <f>SUM(H211:H215)</f>
        <v>400</v>
      </c>
      <c r="I210" s="4" t="s">
        <v>38</v>
      </c>
      <c r="J210" s="13">
        <v>200</v>
      </c>
      <c r="K210" s="13">
        <v>200</v>
      </c>
    </row>
    <row r="211" spans="1:11" ht="63.75" customHeight="1" x14ac:dyDescent="0.2">
      <c r="A211" s="276"/>
      <c r="B211" s="272"/>
      <c r="C211" s="295"/>
      <c r="D211" s="295"/>
      <c r="E211" s="324"/>
      <c r="F211" s="295"/>
      <c r="G211" s="172" t="s">
        <v>17</v>
      </c>
      <c r="H211" s="173">
        <f>J210</f>
        <v>200</v>
      </c>
      <c r="I211" s="4" t="s">
        <v>119</v>
      </c>
      <c r="J211" s="53">
        <v>5</v>
      </c>
      <c r="K211" s="53">
        <v>5</v>
      </c>
    </row>
    <row r="212" spans="1:11" ht="54" customHeight="1" x14ac:dyDescent="0.2">
      <c r="A212" s="276"/>
      <c r="B212" s="176"/>
      <c r="C212" s="295"/>
      <c r="D212" s="295"/>
      <c r="E212" s="324"/>
      <c r="F212" s="295"/>
      <c r="G212" s="177" t="s">
        <v>19</v>
      </c>
      <c r="H212" s="178">
        <v>200</v>
      </c>
      <c r="I212" s="55" t="s">
        <v>365</v>
      </c>
      <c r="J212" s="53">
        <f>J213+J214</f>
        <v>1365</v>
      </c>
      <c r="K212" s="53">
        <f>K213+K214</f>
        <v>1390</v>
      </c>
    </row>
    <row r="213" spans="1:11" ht="23.25" customHeight="1" x14ac:dyDescent="0.2">
      <c r="A213" s="276"/>
      <c r="B213" s="176"/>
      <c r="C213" s="295"/>
      <c r="D213" s="295"/>
      <c r="E213" s="324"/>
      <c r="F213" s="295"/>
      <c r="G213" s="177"/>
      <c r="H213" s="178"/>
      <c r="I213" s="55" t="s">
        <v>72</v>
      </c>
      <c r="J213" s="53">
        <v>955</v>
      </c>
      <c r="K213" s="53">
        <v>975</v>
      </c>
    </row>
    <row r="214" spans="1:11" ht="22.5" customHeight="1" x14ac:dyDescent="0.2">
      <c r="A214" s="276"/>
      <c r="B214" s="176"/>
      <c r="C214" s="295"/>
      <c r="D214" s="295"/>
      <c r="E214" s="324"/>
      <c r="F214" s="295"/>
      <c r="G214" s="177"/>
      <c r="H214" s="178"/>
      <c r="I214" s="55" t="s">
        <v>71</v>
      </c>
      <c r="J214" s="53">
        <v>410</v>
      </c>
      <c r="K214" s="53">
        <v>415</v>
      </c>
    </row>
    <row r="215" spans="1:11" ht="66.75" customHeight="1" x14ac:dyDescent="0.2">
      <c r="A215" s="276"/>
      <c r="B215" s="176"/>
      <c r="C215" s="295"/>
      <c r="D215" s="295"/>
      <c r="E215" s="324"/>
      <c r="F215" s="295"/>
      <c r="G215" s="177"/>
      <c r="H215" s="179"/>
      <c r="I215" s="4" t="s">
        <v>70</v>
      </c>
      <c r="J215" s="13">
        <f>J210/J211</f>
        <v>40</v>
      </c>
      <c r="K215" s="13">
        <f>K210/K211</f>
        <v>40</v>
      </c>
    </row>
    <row r="216" spans="1:11" ht="63" customHeight="1" x14ac:dyDescent="0.2">
      <c r="A216" s="276"/>
      <c r="B216" s="176"/>
      <c r="C216" s="295"/>
      <c r="D216" s="295"/>
      <c r="E216" s="324"/>
      <c r="F216" s="295"/>
      <c r="G216" s="10"/>
      <c r="H216" s="11"/>
      <c r="I216" s="55" t="s">
        <v>242</v>
      </c>
      <c r="J216" s="13">
        <v>100</v>
      </c>
      <c r="K216" s="13">
        <v>100</v>
      </c>
    </row>
    <row r="217" spans="1:11" ht="15" customHeight="1" x14ac:dyDescent="0.2">
      <c r="A217" s="146"/>
      <c r="B217" s="340" t="s">
        <v>150</v>
      </c>
      <c r="C217" s="341"/>
      <c r="D217" s="341"/>
      <c r="E217" s="341"/>
      <c r="F217" s="342"/>
      <c r="G217" s="82" t="s">
        <v>15</v>
      </c>
      <c r="H217" s="83">
        <f>SUM(H218:H219)</f>
        <v>51949.100000000006</v>
      </c>
      <c r="I217" s="303"/>
      <c r="J217" s="304"/>
      <c r="K217" s="305"/>
    </row>
    <row r="218" spans="1:11" ht="27" customHeight="1" x14ac:dyDescent="0.2">
      <c r="A218" s="70"/>
      <c r="B218" s="326"/>
      <c r="C218" s="329"/>
      <c r="D218" s="329"/>
      <c r="E218" s="329"/>
      <c r="F218" s="329"/>
      <c r="G218" s="86" t="s">
        <v>17</v>
      </c>
      <c r="H218" s="87">
        <f>SUM(H199+H203+H207+H211)</f>
        <v>24938.800000000003</v>
      </c>
      <c r="I218" s="333"/>
      <c r="J218" s="333"/>
      <c r="K218" s="334"/>
    </row>
    <row r="219" spans="1:11" ht="26.45" customHeight="1" x14ac:dyDescent="0.2">
      <c r="A219" s="70"/>
      <c r="B219" s="326"/>
      <c r="C219" s="327"/>
      <c r="D219" s="327"/>
      <c r="E219" s="327"/>
      <c r="F219" s="328"/>
      <c r="G219" s="82" t="s">
        <v>19</v>
      </c>
      <c r="H219" s="87">
        <f>SUM(H200+H204+H208+H212)</f>
        <v>27010.300000000003</v>
      </c>
      <c r="I219" s="335"/>
      <c r="J219" s="336"/>
      <c r="K219" s="337"/>
    </row>
    <row r="220" spans="1:11" ht="39.75" customHeight="1" x14ac:dyDescent="0.2">
      <c r="A220" s="180"/>
      <c r="B220" s="181"/>
      <c r="C220" s="181"/>
      <c r="D220" s="181"/>
      <c r="E220" s="181"/>
      <c r="F220" s="181"/>
      <c r="G220" s="65" t="s">
        <v>52</v>
      </c>
      <c r="H220" s="182">
        <f>H217</f>
        <v>51949.100000000006</v>
      </c>
      <c r="I220" s="183"/>
      <c r="J220" s="183"/>
      <c r="K220" s="184"/>
    </row>
    <row r="221" spans="1:11" ht="26.45" customHeight="1" x14ac:dyDescent="0.2">
      <c r="A221" s="168"/>
      <c r="B221" s="169"/>
      <c r="C221" s="169"/>
      <c r="D221" s="169"/>
      <c r="E221" s="169"/>
      <c r="F221" s="169"/>
      <c r="G221" s="67" t="s">
        <v>17</v>
      </c>
      <c r="H221" s="68">
        <f>H218</f>
        <v>24938.800000000003</v>
      </c>
      <c r="I221" s="170"/>
      <c r="J221" s="170"/>
      <c r="K221" s="185"/>
    </row>
    <row r="222" spans="1:11" ht="26.45" customHeight="1" x14ac:dyDescent="0.2">
      <c r="A222" s="186"/>
      <c r="B222" s="187"/>
      <c r="C222" s="187"/>
      <c r="D222" s="187"/>
      <c r="E222" s="187"/>
      <c r="F222" s="187"/>
      <c r="G222" s="67" t="s">
        <v>19</v>
      </c>
      <c r="H222" s="68">
        <f>H219</f>
        <v>27010.300000000003</v>
      </c>
      <c r="I222" s="171"/>
      <c r="J222" s="171"/>
      <c r="K222" s="188"/>
    </row>
    <row r="223" spans="1:11" ht="24" customHeight="1" x14ac:dyDescent="0.2">
      <c r="A223" s="338" t="s">
        <v>168</v>
      </c>
      <c r="B223" s="300"/>
      <c r="C223" s="300"/>
      <c r="D223" s="300"/>
      <c r="E223" s="300"/>
      <c r="F223" s="300"/>
      <c r="G223" s="300"/>
      <c r="H223" s="300"/>
      <c r="I223" s="300"/>
      <c r="J223" s="300"/>
      <c r="K223" s="301"/>
    </row>
    <row r="224" spans="1:11" ht="18" customHeight="1" x14ac:dyDescent="0.2">
      <c r="A224" s="273" t="s">
        <v>12</v>
      </c>
      <c r="B224" s="339" t="s">
        <v>55</v>
      </c>
      <c r="C224" s="339"/>
      <c r="D224" s="339"/>
      <c r="E224" s="339"/>
      <c r="F224" s="339"/>
      <c r="G224" s="339"/>
      <c r="H224" s="339"/>
      <c r="I224" s="339"/>
      <c r="J224" s="339"/>
      <c r="K224" s="339"/>
    </row>
    <row r="225" spans="1:11" ht="45" customHeight="1" x14ac:dyDescent="0.2">
      <c r="A225" s="297"/>
      <c r="B225" s="271" t="s">
        <v>56</v>
      </c>
      <c r="C225" s="271" t="s">
        <v>269</v>
      </c>
      <c r="D225" s="288" t="s">
        <v>14</v>
      </c>
      <c r="E225" s="288" t="s">
        <v>92</v>
      </c>
      <c r="F225" s="294" t="s">
        <v>52</v>
      </c>
      <c r="G225" s="2" t="s">
        <v>15</v>
      </c>
      <c r="H225" s="3">
        <f>SUM(H226:H227)</f>
        <v>15281.5</v>
      </c>
      <c r="I225" s="4" t="s">
        <v>53</v>
      </c>
      <c r="J225" s="5">
        <v>7276.9</v>
      </c>
      <c r="K225" s="5">
        <v>8004.6</v>
      </c>
    </row>
    <row r="226" spans="1:11" ht="99" customHeight="1" x14ac:dyDescent="0.2">
      <c r="A226" s="297"/>
      <c r="B226" s="296"/>
      <c r="C226" s="296"/>
      <c r="D226" s="289"/>
      <c r="E226" s="289"/>
      <c r="F226" s="294"/>
      <c r="G226" s="2" t="s">
        <v>17</v>
      </c>
      <c r="H226" s="3">
        <f>J225</f>
        <v>7276.9</v>
      </c>
      <c r="I226" s="189" t="s">
        <v>330</v>
      </c>
      <c r="J226" s="7">
        <v>21</v>
      </c>
      <c r="K226" s="7">
        <v>21</v>
      </c>
    </row>
    <row r="227" spans="1:11" ht="52.5" customHeight="1" x14ac:dyDescent="0.2">
      <c r="A227" s="297"/>
      <c r="B227" s="296"/>
      <c r="C227" s="296"/>
      <c r="D227" s="289"/>
      <c r="E227" s="289"/>
      <c r="F227" s="294"/>
      <c r="G227" s="2" t="s">
        <v>19</v>
      </c>
      <c r="H227" s="9">
        <f>K225</f>
        <v>8004.6</v>
      </c>
      <c r="I227" s="49" t="s">
        <v>331</v>
      </c>
      <c r="J227" s="5">
        <f>J225/J226</f>
        <v>346.51904761904763</v>
      </c>
      <c r="K227" s="5">
        <f>K225/K226</f>
        <v>381.17142857142858</v>
      </c>
    </row>
    <row r="228" spans="1:11" ht="123.75" customHeight="1" x14ac:dyDescent="0.2">
      <c r="A228" s="190"/>
      <c r="B228" s="296"/>
      <c r="C228" s="322"/>
      <c r="D228" s="293"/>
      <c r="E228" s="293"/>
      <c r="F228" s="294"/>
      <c r="G228" s="50"/>
      <c r="H228" s="51"/>
      <c r="I228" s="55" t="s">
        <v>332</v>
      </c>
      <c r="J228" s="48">
        <v>100</v>
      </c>
      <c r="K228" s="48">
        <f>K225/J225*100</f>
        <v>110.00013742115462</v>
      </c>
    </row>
    <row r="229" spans="1:11" ht="74.25" customHeight="1" x14ac:dyDescent="0.2">
      <c r="A229" s="190"/>
      <c r="B229" s="272"/>
      <c r="C229" s="344" t="s">
        <v>133</v>
      </c>
      <c r="D229" s="288" t="s">
        <v>14</v>
      </c>
      <c r="E229" s="271" t="s">
        <v>92</v>
      </c>
      <c r="F229" s="294" t="s">
        <v>52</v>
      </c>
      <c r="G229" s="2" t="s">
        <v>15</v>
      </c>
      <c r="H229" s="3">
        <f>SUM(H230:H231)</f>
        <v>1528148.9</v>
      </c>
      <c r="I229" s="4" t="s">
        <v>53</v>
      </c>
      <c r="J229" s="5">
        <v>727690</v>
      </c>
      <c r="K229" s="5">
        <v>800458.9</v>
      </c>
    </row>
    <row r="230" spans="1:11" ht="108.75" customHeight="1" x14ac:dyDescent="0.2">
      <c r="A230" s="190"/>
      <c r="B230" s="272"/>
      <c r="C230" s="297"/>
      <c r="D230" s="289"/>
      <c r="E230" s="272"/>
      <c r="F230" s="294"/>
      <c r="G230" s="2" t="s">
        <v>17</v>
      </c>
      <c r="H230" s="3">
        <f>J229</f>
        <v>727690</v>
      </c>
      <c r="I230" s="189" t="s">
        <v>141</v>
      </c>
      <c r="J230" s="7">
        <v>11349</v>
      </c>
      <c r="K230" s="7">
        <v>11743</v>
      </c>
    </row>
    <row r="231" spans="1:11" ht="90.75" customHeight="1" x14ac:dyDescent="0.2">
      <c r="A231" s="190"/>
      <c r="B231" s="272"/>
      <c r="C231" s="91"/>
      <c r="D231" s="289"/>
      <c r="E231" s="272"/>
      <c r="F231" s="294"/>
      <c r="G231" s="2" t="s">
        <v>19</v>
      </c>
      <c r="H231" s="9">
        <f>K229</f>
        <v>800458.9</v>
      </c>
      <c r="I231" s="49" t="s">
        <v>142</v>
      </c>
      <c r="J231" s="48">
        <f>J229/J230</f>
        <v>64.119305665697425</v>
      </c>
      <c r="K231" s="48">
        <f>K229/K230</f>
        <v>68.164770501575404</v>
      </c>
    </row>
    <row r="232" spans="1:11" ht="74.25" customHeight="1" x14ac:dyDescent="0.2">
      <c r="A232" s="190"/>
      <c r="B232" s="416"/>
      <c r="C232" s="91"/>
      <c r="D232" s="293"/>
      <c r="E232" s="191"/>
      <c r="F232" s="294"/>
      <c r="G232" s="50"/>
      <c r="H232" s="51"/>
      <c r="I232" s="55" t="s">
        <v>175</v>
      </c>
      <c r="J232" s="48">
        <v>100</v>
      </c>
      <c r="K232" s="48">
        <f>K230/J230*100</f>
        <v>103.47167151290864</v>
      </c>
    </row>
    <row r="233" spans="1:11" ht="51" customHeight="1" x14ac:dyDescent="0.2">
      <c r="A233" s="190"/>
      <c r="B233" s="323" t="s">
        <v>57</v>
      </c>
      <c r="C233" s="271" t="s">
        <v>134</v>
      </c>
      <c r="D233" s="292" t="s">
        <v>14</v>
      </c>
      <c r="E233" s="288" t="s">
        <v>92</v>
      </c>
      <c r="F233" s="294" t="s">
        <v>52</v>
      </c>
      <c r="G233" s="2" t="s">
        <v>15</v>
      </c>
      <c r="H233" s="3">
        <f>SUM(H234:H235)</f>
        <v>39044.699999999997</v>
      </c>
      <c r="I233" s="4" t="s">
        <v>53</v>
      </c>
      <c r="J233" s="48">
        <v>17993.5</v>
      </c>
      <c r="K233" s="48">
        <v>21051.200000000001</v>
      </c>
    </row>
    <row r="234" spans="1:11" ht="63.75" x14ac:dyDescent="0.2">
      <c r="A234" s="190"/>
      <c r="B234" s="272"/>
      <c r="C234" s="272"/>
      <c r="D234" s="292"/>
      <c r="E234" s="289"/>
      <c r="F234" s="294"/>
      <c r="G234" s="2" t="s">
        <v>17</v>
      </c>
      <c r="H234" s="3">
        <f>J233</f>
        <v>17993.5</v>
      </c>
      <c r="I234" s="192" t="s">
        <v>192</v>
      </c>
      <c r="J234" s="8">
        <v>306</v>
      </c>
      <c r="K234" s="8">
        <v>314</v>
      </c>
    </row>
    <row r="235" spans="1:11" ht="89.25" x14ac:dyDescent="0.2">
      <c r="A235" s="190"/>
      <c r="B235" s="272"/>
      <c r="C235" s="91"/>
      <c r="D235" s="292"/>
      <c r="E235" s="289"/>
      <c r="F235" s="294"/>
      <c r="G235" s="2" t="s">
        <v>19</v>
      </c>
      <c r="H235" s="9">
        <f>K233</f>
        <v>21051.200000000001</v>
      </c>
      <c r="I235" s="192" t="s">
        <v>193</v>
      </c>
      <c r="J235" s="48">
        <f>J233/J234</f>
        <v>58.802287581699346</v>
      </c>
      <c r="K235" s="48">
        <f>K233/K234</f>
        <v>67.042038216560513</v>
      </c>
    </row>
    <row r="236" spans="1:11" ht="104.25" customHeight="1" x14ac:dyDescent="0.2">
      <c r="A236" s="190"/>
      <c r="B236" s="272"/>
      <c r="C236" s="54"/>
      <c r="D236" s="292"/>
      <c r="E236" s="293"/>
      <c r="F236" s="294"/>
      <c r="G236" s="50"/>
      <c r="H236" s="51"/>
      <c r="I236" s="52" t="s">
        <v>194</v>
      </c>
      <c r="J236" s="48">
        <v>100</v>
      </c>
      <c r="K236" s="48">
        <f>K234/J234*100</f>
        <v>102.61437908496731</v>
      </c>
    </row>
    <row r="237" spans="1:11" ht="44.25" customHeight="1" x14ac:dyDescent="0.2">
      <c r="A237" s="190"/>
      <c r="B237" s="193"/>
      <c r="C237" s="275" t="s">
        <v>219</v>
      </c>
      <c r="D237" s="294" t="s">
        <v>14</v>
      </c>
      <c r="E237" s="288" t="s">
        <v>92</v>
      </c>
      <c r="F237" s="294" t="s">
        <v>52</v>
      </c>
      <c r="G237" s="194" t="s">
        <v>15</v>
      </c>
      <c r="H237" s="3">
        <f>SUM(H238:H241)</f>
        <v>18238.8</v>
      </c>
      <c r="I237" s="195" t="s">
        <v>53</v>
      </c>
      <c r="J237" s="101">
        <v>9042.7999999999993</v>
      </c>
      <c r="K237" s="101">
        <v>9196</v>
      </c>
    </row>
    <row r="238" spans="1:11" ht="166.5" customHeight="1" x14ac:dyDescent="0.2">
      <c r="A238" s="190"/>
      <c r="B238" s="193"/>
      <c r="C238" s="295"/>
      <c r="D238" s="294"/>
      <c r="E238" s="289"/>
      <c r="F238" s="294"/>
      <c r="G238" s="194" t="s">
        <v>17</v>
      </c>
      <c r="H238" s="153">
        <f>J237</f>
        <v>9042.7999999999993</v>
      </c>
      <c r="I238" s="49" t="s">
        <v>310</v>
      </c>
      <c r="J238" s="7">
        <v>4804</v>
      </c>
      <c r="K238" s="7">
        <v>4840</v>
      </c>
    </row>
    <row r="239" spans="1:11" ht="24" customHeight="1" x14ac:dyDescent="0.2">
      <c r="A239" s="190"/>
      <c r="B239" s="193"/>
      <c r="C239" s="295"/>
      <c r="D239" s="294"/>
      <c r="E239" s="289"/>
      <c r="F239" s="294"/>
      <c r="G239" s="2" t="s">
        <v>19</v>
      </c>
      <c r="H239" s="3">
        <v>9196</v>
      </c>
      <c r="I239" s="49" t="s">
        <v>106</v>
      </c>
      <c r="J239" s="7">
        <v>3337</v>
      </c>
      <c r="K239" s="7">
        <v>3268</v>
      </c>
    </row>
    <row r="240" spans="1:11" ht="24.75" customHeight="1" x14ac:dyDescent="0.2">
      <c r="A240" s="190"/>
      <c r="B240" s="193"/>
      <c r="C240" s="295"/>
      <c r="D240" s="294"/>
      <c r="E240" s="289"/>
      <c r="F240" s="294"/>
      <c r="G240" s="149"/>
      <c r="H240" s="150"/>
      <c r="I240" s="196" t="s">
        <v>107</v>
      </c>
      <c r="J240" s="197">
        <v>1469</v>
      </c>
      <c r="K240" s="197">
        <v>1572</v>
      </c>
    </row>
    <row r="241" spans="1:11" ht="123" customHeight="1" x14ac:dyDescent="0.2">
      <c r="A241" s="190"/>
      <c r="B241" s="193"/>
      <c r="C241" s="295"/>
      <c r="D241" s="294"/>
      <c r="E241" s="289"/>
      <c r="F241" s="294"/>
      <c r="G241" s="149"/>
      <c r="H241" s="136"/>
      <c r="I241" s="196" t="s">
        <v>108</v>
      </c>
      <c r="J241" s="152">
        <f>J237/J238</f>
        <v>1.8823480432972521</v>
      </c>
      <c r="K241" s="152">
        <f>K237/K238</f>
        <v>1.9</v>
      </c>
    </row>
    <row r="242" spans="1:11" ht="159.75" customHeight="1" x14ac:dyDescent="0.2">
      <c r="A242" s="190"/>
      <c r="B242" s="193"/>
      <c r="C242" s="295"/>
      <c r="D242" s="294"/>
      <c r="E242" s="293"/>
      <c r="F242" s="294"/>
      <c r="G242" s="144"/>
      <c r="H242" s="145"/>
      <c r="I242" s="92" t="s">
        <v>309</v>
      </c>
      <c r="J242" s="48">
        <v>100</v>
      </c>
      <c r="K242" s="48">
        <f>K238/J238*100</f>
        <v>100.74937552039967</v>
      </c>
    </row>
    <row r="243" spans="1:11" ht="73.5" customHeight="1" x14ac:dyDescent="0.2">
      <c r="A243" s="273" t="s">
        <v>61</v>
      </c>
      <c r="B243" s="277" t="s">
        <v>311</v>
      </c>
      <c r="C243" s="271" t="s">
        <v>220</v>
      </c>
      <c r="D243" s="288" t="s">
        <v>14</v>
      </c>
      <c r="E243" s="285" t="s">
        <v>208</v>
      </c>
      <c r="F243" s="288" t="s">
        <v>52</v>
      </c>
      <c r="G243" s="2" t="s">
        <v>15</v>
      </c>
      <c r="H243" s="3">
        <f>SUM(H244:H245)</f>
        <v>250</v>
      </c>
      <c r="I243" s="4" t="s">
        <v>38</v>
      </c>
      <c r="J243" s="101">
        <v>150</v>
      </c>
      <c r="K243" s="101">
        <v>100</v>
      </c>
    </row>
    <row r="244" spans="1:11" ht="96" customHeight="1" x14ac:dyDescent="0.2">
      <c r="A244" s="276"/>
      <c r="B244" s="278"/>
      <c r="C244" s="296"/>
      <c r="D244" s="289"/>
      <c r="E244" s="286"/>
      <c r="F244" s="289"/>
      <c r="G244" s="2" t="s">
        <v>17</v>
      </c>
      <c r="H244" s="198">
        <f>J243</f>
        <v>150</v>
      </c>
      <c r="I244" s="199" t="s">
        <v>195</v>
      </c>
      <c r="J244" s="200">
        <v>52</v>
      </c>
      <c r="K244" s="8">
        <v>36</v>
      </c>
    </row>
    <row r="245" spans="1:11" ht="27.75" customHeight="1" x14ac:dyDescent="0.2">
      <c r="A245" s="190"/>
      <c r="B245" s="278"/>
      <c r="C245" s="296"/>
      <c r="D245" s="289"/>
      <c r="E245" s="286"/>
      <c r="F245" s="289"/>
      <c r="G245" s="2" t="s">
        <v>19</v>
      </c>
      <c r="H245" s="201">
        <f>K243</f>
        <v>100</v>
      </c>
      <c r="I245" s="55" t="s">
        <v>71</v>
      </c>
      <c r="J245" s="202">
        <v>28</v>
      </c>
      <c r="K245" s="203">
        <v>16</v>
      </c>
    </row>
    <row r="246" spans="1:11" ht="24" customHeight="1" x14ac:dyDescent="0.2">
      <c r="A246" s="190"/>
      <c r="B246" s="278"/>
      <c r="C246" s="296"/>
      <c r="D246" s="289"/>
      <c r="E246" s="286"/>
      <c r="F246" s="290"/>
      <c r="G246" s="204"/>
      <c r="H246" s="205"/>
      <c r="I246" s="206" t="s">
        <v>72</v>
      </c>
      <c r="J246" s="202">
        <v>24</v>
      </c>
      <c r="K246" s="207">
        <v>20</v>
      </c>
    </row>
    <row r="247" spans="1:11" ht="56.25" customHeight="1" x14ac:dyDescent="0.2">
      <c r="A247" s="190"/>
      <c r="B247" s="278"/>
      <c r="C247" s="296"/>
      <c r="D247" s="289"/>
      <c r="E247" s="286"/>
      <c r="F247" s="290"/>
      <c r="G247" s="208"/>
      <c r="H247" s="209"/>
      <c r="I247" s="196" t="s">
        <v>270</v>
      </c>
      <c r="J247" s="152">
        <f>J243/J244</f>
        <v>2.8846153846153846</v>
      </c>
      <c r="K247" s="152">
        <f>K243/K244</f>
        <v>2.7777777777777777</v>
      </c>
    </row>
    <row r="248" spans="1:11" ht="50.25" customHeight="1" x14ac:dyDescent="0.2">
      <c r="A248" s="190"/>
      <c r="B248" s="279"/>
      <c r="C248" s="322"/>
      <c r="D248" s="293"/>
      <c r="E248" s="287"/>
      <c r="F248" s="291"/>
      <c r="G248" s="139"/>
      <c r="H248" s="140"/>
      <c r="I248" s="55" t="s">
        <v>41</v>
      </c>
      <c r="J248" s="48">
        <v>100</v>
      </c>
      <c r="K248" s="48">
        <v>100</v>
      </c>
    </row>
    <row r="249" spans="1:11" ht="49.5" customHeight="1" x14ac:dyDescent="0.2">
      <c r="A249" s="190"/>
      <c r="B249" s="277" t="s">
        <v>312</v>
      </c>
      <c r="C249" s="271" t="s">
        <v>180</v>
      </c>
      <c r="D249" s="316" t="s">
        <v>14</v>
      </c>
      <c r="E249" s="273" t="s">
        <v>92</v>
      </c>
      <c r="F249" s="288" t="s">
        <v>52</v>
      </c>
      <c r="G249" s="2" t="s">
        <v>15</v>
      </c>
      <c r="H249" s="3">
        <f>SUM(H250:H251)</f>
        <v>200</v>
      </c>
      <c r="I249" s="4" t="s">
        <v>38</v>
      </c>
      <c r="J249" s="33">
        <v>100</v>
      </c>
      <c r="K249" s="33">
        <v>100</v>
      </c>
    </row>
    <row r="250" spans="1:11" ht="42" customHeight="1" x14ac:dyDescent="0.2">
      <c r="A250" s="190"/>
      <c r="B250" s="313"/>
      <c r="C250" s="296"/>
      <c r="D250" s="317"/>
      <c r="E250" s="274"/>
      <c r="F250" s="289"/>
      <c r="G250" s="2" t="s">
        <v>17</v>
      </c>
      <c r="H250" s="198">
        <f>J249</f>
        <v>100</v>
      </c>
      <c r="I250" s="192" t="s">
        <v>73</v>
      </c>
      <c r="J250" s="34">
        <v>4</v>
      </c>
      <c r="K250" s="34">
        <v>4</v>
      </c>
    </row>
    <row r="251" spans="1:11" ht="52.5" customHeight="1" x14ac:dyDescent="0.2">
      <c r="A251" s="190"/>
      <c r="B251" s="313"/>
      <c r="C251" s="296"/>
      <c r="D251" s="317"/>
      <c r="E251" s="274"/>
      <c r="F251" s="289"/>
      <c r="G251" s="2" t="s">
        <v>19</v>
      </c>
      <c r="H251" s="201">
        <f>K249</f>
        <v>100</v>
      </c>
      <c r="I251" s="49" t="s">
        <v>74</v>
      </c>
      <c r="J251" s="33">
        <f>J249/J250</f>
        <v>25</v>
      </c>
      <c r="K251" s="33">
        <f>K249/K250</f>
        <v>25</v>
      </c>
    </row>
    <row r="252" spans="1:11" ht="50.25" customHeight="1" x14ac:dyDescent="0.2">
      <c r="A252" s="190"/>
      <c r="B252" s="313"/>
      <c r="C252" s="322"/>
      <c r="D252" s="318"/>
      <c r="E252" s="275"/>
      <c r="F252" s="291"/>
      <c r="G252" s="210"/>
      <c r="H252" s="211"/>
      <c r="I252" s="55" t="s">
        <v>238</v>
      </c>
      <c r="J252" s="48">
        <v>100</v>
      </c>
      <c r="K252" s="48">
        <v>100</v>
      </c>
    </row>
    <row r="253" spans="1:11" ht="48.75" customHeight="1" x14ac:dyDescent="0.2">
      <c r="A253" s="190"/>
      <c r="B253" s="313"/>
      <c r="C253" s="311" t="s">
        <v>181</v>
      </c>
      <c r="D253" s="294" t="s">
        <v>14</v>
      </c>
      <c r="E253" s="273" t="s">
        <v>92</v>
      </c>
      <c r="F253" s="294" t="s">
        <v>52</v>
      </c>
      <c r="G253" s="2" t="s">
        <v>15</v>
      </c>
      <c r="H253" s="3">
        <f>SUM(H254:H255)</f>
        <v>33773.4</v>
      </c>
      <c r="I253" s="4" t="s">
        <v>38</v>
      </c>
      <c r="J253" s="48">
        <v>16816</v>
      </c>
      <c r="K253" s="48">
        <v>16957.400000000001</v>
      </c>
    </row>
    <row r="254" spans="1:11" ht="73.5" customHeight="1" x14ac:dyDescent="0.2">
      <c r="A254" s="190"/>
      <c r="B254" s="313"/>
      <c r="C254" s="311"/>
      <c r="D254" s="294"/>
      <c r="E254" s="274"/>
      <c r="F254" s="294"/>
      <c r="G254" s="2" t="s">
        <v>17</v>
      </c>
      <c r="H254" s="198">
        <f>J253</f>
        <v>16816</v>
      </c>
      <c r="I254" s="49" t="s">
        <v>75</v>
      </c>
      <c r="J254" s="8">
        <v>560</v>
      </c>
      <c r="K254" s="8">
        <v>544</v>
      </c>
    </row>
    <row r="255" spans="1:11" ht="91.5" customHeight="1" x14ac:dyDescent="0.2">
      <c r="A255" s="190"/>
      <c r="B255" s="313"/>
      <c r="C255" s="311"/>
      <c r="D255" s="294"/>
      <c r="E255" s="274"/>
      <c r="F255" s="294"/>
      <c r="G255" s="2" t="s">
        <v>19</v>
      </c>
      <c r="H255" s="201">
        <f>K253</f>
        <v>16957.400000000001</v>
      </c>
      <c r="I255" s="49" t="s">
        <v>76</v>
      </c>
      <c r="J255" s="48">
        <f>J253/J254</f>
        <v>30.028571428571428</v>
      </c>
      <c r="K255" s="48">
        <f>K253/K254</f>
        <v>31.171691176470592</v>
      </c>
    </row>
    <row r="256" spans="1:11" ht="75.75" customHeight="1" x14ac:dyDescent="0.2">
      <c r="A256" s="190"/>
      <c r="B256" s="314"/>
      <c r="C256" s="311"/>
      <c r="D256" s="294"/>
      <c r="E256" s="275"/>
      <c r="F256" s="312"/>
      <c r="G256" s="210"/>
      <c r="H256" s="211"/>
      <c r="I256" s="52" t="s">
        <v>196</v>
      </c>
      <c r="J256" s="48">
        <v>100</v>
      </c>
      <c r="K256" s="48">
        <v>100</v>
      </c>
    </row>
    <row r="257" spans="1:11" ht="18.75" customHeight="1" x14ac:dyDescent="0.2">
      <c r="A257" s="208"/>
      <c r="B257" s="280" t="s">
        <v>151</v>
      </c>
      <c r="C257" s="281"/>
      <c r="D257" s="104"/>
      <c r="E257" s="82" t="s">
        <v>15</v>
      </c>
      <c r="F257" s="83">
        <f>SUM(F258:F259)</f>
        <v>1634937.3</v>
      </c>
      <c r="G257" s="212"/>
      <c r="H257" s="213"/>
      <c r="I257" s="123"/>
      <c r="J257" s="214"/>
      <c r="K257" s="214"/>
    </row>
    <row r="258" spans="1:11" ht="18.75" customHeight="1" x14ac:dyDescent="0.25">
      <c r="A258" s="208"/>
      <c r="B258" s="282"/>
      <c r="C258" s="283"/>
      <c r="D258" s="161"/>
      <c r="E258" s="86" t="s">
        <v>17</v>
      </c>
      <c r="F258" s="87">
        <f>H226+H230+H234+H238+H244+H250+H254</f>
        <v>779069.20000000007</v>
      </c>
      <c r="G258" s="215"/>
      <c r="H258" s="216"/>
      <c r="I258" s="126"/>
      <c r="J258" s="217"/>
      <c r="K258" s="217"/>
    </row>
    <row r="259" spans="1:11" ht="18" customHeight="1" x14ac:dyDescent="0.25">
      <c r="A259" s="208"/>
      <c r="B259" s="269"/>
      <c r="C259" s="284"/>
      <c r="D259" s="163"/>
      <c r="E259" s="218" t="s">
        <v>19</v>
      </c>
      <c r="F259" s="219">
        <f>H227+H231+H235+H239+H245+H251+H255</f>
        <v>855868.1</v>
      </c>
      <c r="G259" s="220"/>
      <c r="H259" s="221"/>
      <c r="I259" s="206"/>
      <c r="J259" s="222"/>
      <c r="K259" s="222"/>
    </row>
    <row r="260" spans="1:11" ht="20.25" customHeight="1" x14ac:dyDescent="0.2">
      <c r="A260" s="412" t="s">
        <v>60</v>
      </c>
      <c r="B260" s="369"/>
      <c r="C260" s="369"/>
      <c r="D260" s="369"/>
      <c r="E260" s="369"/>
      <c r="F260" s="369"/>
      <c r="G260" s="369"/>
      <c r="H260" s="369"/>
      <c r="I260" s="369"/>
      <c r="J260" s="369"/>
      <c r="K260" s="413"/>
    </row>
    <row r="261" spans="1:11" ht="117.75" customHeight="1" x14ac:dyDescent="0.2">
      <c r="A261" s="271" t="s">
        <v>12</v>
      </c>
      <c r="B261" s="271" t="s">
        <v>284</v>
      </c>
      <c r="C261" s="311" t="s">
        <v>285</v>
      </c>
      <c r="D261" s="294" t="s">
        <v>14</v>
      </c>
      <c r="E261" s="288" t="s">
        <v>145</v>
      </c>
      <c r="F261" s="294" t="s">
        <v>52</v>
      </c>
      <c r="G261" s="2" t="s">
        <v>15</v>
      </c>
      <c r="H261" s="3">
        <f>SUM(H262:H263)</f>
        <v>4000</v>
      </c>
      <c r="I261" s="4" t="s">
        <v>53</v>
      </c>
      <c r="J261" s="48">
        <v>1500</v>
      </c>
      <c r="K261" s="48">
        <v>2500</v>
      </c>
    </row>
    <row r="262" spans="1:11" ht="63.75" x14ac:dyDescent="0.2">
      <c r="A262" s="296"/>
      <c r="B262" s="297"/>
      <c r="C262" s="311"/>
      <c r="D262" s="294"/>
      <c r="E262" s="315"/>
      <c r="F262" s="294"/>
      <c r="G262" s="2" t="s">
        <v>17</v>
      </c>
      <c r="H262" s="3">
        <f>J261</f>
        <v>1500</v>
      </c>
      <c r="I262" s="223" t="s">
        <v>125</v>
      </c>
      <c r="J262" s="53">
        <v>50</v>
      </c>
      <c r="K262" s="53">
        <v>75</v>
      </c>
    </row>
    <row r="263" spans="1:11" ht="95.25" customHeight="1" x14ac:dyDescent="0.2">
      <c r="A263" s="190"/>
      <c r="B263" s="71"/>
      <c r="C263" s="311"/>
      <c r="D263" s="294"/>
      <c r="E263" s="315"/>
      <c r="F263" s="294"/>
      <c r="G263" s="2" t="s">
        <v>19</v>
      </c>
      <c r="H263" s="9">
        <f>K261</f>
        <v>2500</v>
      </c>
      <c r="I263" s="223" t="s">
        <v>138</v>
      </c>
      <c r="J263" s="13">
        <f>J261/J262</f>
        <v>30</v>
      </c>
      <c r="K263" s="13">
        <f>K261/K262</f>
        <v>33.333333333333336</v>
      </c>
    </row>
    <row r="264" spans="1:11" ht="114" customHeight="1" x14ac:dyDescent="0.2">
      <c r="A264" s="190"/>
      <c r="B264" s="71"/>
      <c r="C264" s="311"/>
      <c r="D264" s="294"/>
      <c r="E264" s="315"/>
      <c r="F264" s="294"/>
      <c r="G264" s="50"/>
      <c r="H264" s="51"/>
      <c r="I264" s="55" t="s">
        <v>197</v>
      </c>
      <c r="J264" s="48">
        <v>100</v>
      </c>
      <c r="K264" s="48">
        <f>K262/J262*100</f>
        <v>150</v>
      </c>
    </row>
    <row r="265" spans="1:11" ht="40.5" customHeight="1" x14ac:dyDescent="0.2">
      <c r="A265" s="190"/>
      <c r="B265" s="71"/>
      <c r="C265" s="311" t="s">
        <v>286</v>
      </c>
      <c r="D265" s="294" t="s">
        <v>14</v>
      </c>
      <c r="E265" s="288" t="s">
        <v>91</v>
      </c>
      <c r="F265" s="294" t="s">
        <v>52</v>
      </c>
      <c r="G265" s="2" t="s">
        <v>15</v>
      </c>
      <c r="H265" s="3">
        <f>SUM(H266:H267)</f>
        <v>58580.3</v>
      </c>
      <c r="I265" s="4" t="s">
        <v>53</v>
      </c>
      <c r="J265" s="48">
        <v>29290.2</v>
      </c>
      <c r="K265" s="48">
        <v>29290.1</v>
      </c>
    </row>
    <row r="266" spans="1:11" ht="93" customHeight="1" x14ac:dyDescent="0.2">
      <c r="A266" s="190"/>
      <c r="B266" s="71"/>
      <c r="C266" s="311"/>
      <c r="D266" s="294"/>
      <c r="E266" s="315"/>
      <c r="F266" s="294"/>
      <c r="G266" s="2" t="s">
        <v>17</v>
      </c>
      <c r="H266" s="3">
        <f>J265</f>
        <v>29290.2</v>
      </c>
      <c r="I266" s="223" t="s">
        <v>182</v>
      </c>
      <c r="J266" s="53">
        <v>15</v>
      </c>
      <c r="K266" s="53">
        <v>15</v>
      </c>
    </row>
    <row r="267" spans="1:11" ht="72" customHeight="1" x14ac:dyDescent="0.2">
      <c r="A267" s="190"/>
      <c r="B267" s="71"/>
      <c r="C267" s="311"/>
      <c r="D267" s="294"/>
      <c r="E267" s="315"/>
      <c r="F267" s="294"/>
      <c r="G267" s="2" t="s">
        <v>19</v>
      </c>
      <c r="H267" s="9">
        <f>K265</f>
        <v>29290.1</v>
      </c>
      <c r="I267" s="223" t="s">
        <v>183</v>
      </c>
      <c r="J267" s="13">
        <f>J265/J266</f>
        <v>1952.68</v>
      </c>
      <c r="K267" s="13">
        <f>K265/K266</f>
        <v>1952.6733333333332</v>
      </c>
    </row>
    <row r="268" spans="1:11" ht="135.75" customHeight="1" x14ac:dyDescent="0.2">
      <c r="A268" s="190"/>
      <c r="B268" s="71"/>
      <c r="C268" s="311"/>
      <c r="D268" s="294"/>
      <c r="E268" s="315"/>
      <c r="F268" s="294"/>
      <c r="G268" s="50"/>
      <c r="H268" s="51"/>
      <c r="I268" s="55" t="s">
        <v>243</v>
      </c>
      <c r="J268" s="48">
        <v>50</v>
      </c>
      <c r="K268" s="48">
        <v>100</v>
      </c>
    </row>
    <row r="269" spans="1:11" ht="40.5" customHeight="1" x14ac:dyDescent="0.2">
      <c r="A269" s="190"/>
      <c r="B269" s="71"/>
      <c r="C269" s="271" t="s">
        <v>287</v>
      </c>
      <c r="D269" s="294" t="s">
        <v>14</v>
      </c>
      <c r="E269" s="288" t="s">
        <v>123</v>
      </c>
      <c r="F269" s="288" t="s">
        <v>52</v>
      </c>
      <c r="G269" s="2" t="s">
        <v>15</v>
      </c>
      <c r="H269" s="3">
        <f>SUM(H270:H271)</f>
        <v>40529.300000000003</v>
      </c>
      <c r="I269" s="4" t="s">
        <v>53</v>
      </c>
      <c r="J269" s="13">
        <v>20405.8</v>
      </c>
      <c r="K269" s="13">
        <v>20123.5</v>
      </c>
    </row>
    <row r="270" spans="1:11" ht="117.75" customHeight="1" x14ac:dyDescent="0.2">
      <c r="A270" s="190"/>
      <c r="B270" s="71"/>
      <c r="C270" s="296"/>
      <c r="D270" s="294"/>
      <c r="E270" s="289"/>
      <c r="F270" s="289"/>
      <c r="G270" s="2" t="s">
        <v>17</v>
      </c>
      <c r="H270" s="3">
        <f>J269</f>
        <v>20405.8</v>
      </c>
      <c r="I270" s="223" t="s">
        <v>122</v>
      </c>
      <c r="J270" s="53">
        <v>3</v>
      </c>
      <c r="K270" s="53">
        <v>3</v>
      </c>
    </row>
    <row r="271" spans="1:11" ht="93" customHeight="1" x14ac:dyDescent="0.2">
      <c r="A271" s="190"/>
      <c r="B271" s="71"/>
      <c r="C271" s="296"/>
      <c r="D271" s="294"/>
      <c r="E271" s="289"/>
      <c r="F271" s="289"/>
      <c r="G271" s="2" t="s">
        <v>19</v>
      </c>
      <c r="H271" s="9">
        <f>K269</f>
        <v>20123.5</v>
      </c>
      <c r="I271" s="223" t="s">
        <v>54</v>
      </c>
      <c r="J271" s="13">
        <f>J269/J270</f>
        <v>6801.9333333333334</v>
      </c>
      <c r="K271" s="13">
        <f>K269/K270</f>
        <v>6707.833333333333</v>
      </c>
    </row>
    <row r="272" spans="1:11" ht="132" customHeight="1" x14ac:dyDescent="0.2">
      <c r="A272" s="190"/>
      <c r="B272" s="71"/>
      <c r="C272" s="322"/>
      <c r="D272" s="294"/>
      <c r="E272" s="293"/>
      <c r="F272" s="293"/>
      <c r="G272" s="50"/>
      <c r="H272" s="51"/>
      <c r="I272" s="102" t="s">
        <v>244</v>
      </c>
      <c r="J272" s="48">
        <v>100</v>
      </c>
      <c r="K272" s="48">
        <v>100</v>
      </c>
    </row>
    <row r="273" spans="1:11" ht="40.5" customHeight="1" x14ac:dyDescent="0.2">
      <c r="A273" s="190"/>
      <c r="B273" s="71"/>
      <c r="C273" s="311" t="s">
        <v>288</v>
      </c>
      <c r="D273" s="294" t="s">
        <v>14</v>
      </c>
      <c r="E273" s="288" t="s">
        <v>123</v>
      </c>
      <c r="F273" s="288" t="s">
        <v>52</v>
      </c>
      <c r="G273" s="2" t="s">
        <v>15</v>
      </c>
      <c r="H273" s="3">
        <f>SUM(H274:H275)</f>
        <v>395</v>
      </c>
      <c r="I273" s="4" t="s">
        <v>53</v>
      </c>
      <c r="J273" s="224">
        <v>195</v>
      </c>
      <c r="K273" s="224">
        <v>200</v>
      </c>
    </row>
    <row r="274" spans="1:11" ht="54.75" customHeight="1" x14ac:dyDescent="0.2">
      <c r="A274" s="190"/>
      <c r="B274" s="71"/>
      <c r="C274" s="311"/>
      <c r="D274" s="294"/>
      <c r="E274" s="289"/>
      <c r="F274" s="289"/>
      <c r="G274" s="2" t="s">
        <v>17</v>
      </c>
      <c r="H274" s="3">
        <f>J273</f>
        <v>195</v>
      </c>
      <c r="I274" s="223" t="s">
        <v>184</v>
      </c>
      <c r="J274" s="225">
        <v>550</v>
      </c>
      <c r="K274" s="225">
        <v>550</v>
      </c>
    </row>
    <row r="275" spans="1:11" ht="67.5" customHeight="1" x14ac:dyDescent="0.2">
      <c r="A275" s="190"/>
      <c r="B275" s="71"/>
      <c r="C275" s="311"/>
      <c r="D275" s="294"/>
      <c r="E275" s="289"/>
      <c r="F275" s="289"/>
      <c r="G275" s="2" t="s">
        <v>19</v>
      </c>
      <c r="H275" s="9">
        <f>K273</f>
        <v>200</v>
      </c>
      <c r="I275" s="223" t="s">
        <v>124</v>
      </c>
      <c r="J275" s="224">
        <f>J273/J274</f>
        <v>0.35454545454545455</v>
      </c>
      <c r="K275" s="224">
        <f>K273/K274</f>
        <v>0.36363636363636365</v>
      </c>
    </row>
    <row r="276" spans="1:11" ht="91.5" customHeight="1" x14ac:dyDescent="0.2">
      <c r="A276" s="190"/>
      <c r="B276" s="73"/>
      <c r="C276" s="311"/>
      <c r="D276" s="294"/>
      <c r="E276" s="293"/>
      <c r="F276" s="293"/>
      <c r="G276" s="50"/>
      <c r="H276" s="51"/>
      <c r="I276" s="55" t="s">
        <v>333</v>
      </c>
      <c r="J276" s="48">
        <v>100</v>
      </c>
      <c r="K276" s="48">
        <v>100</v>
      </c>
    </row>
    <row r="277" spans="1:11" ht="40.5" customHeight="1" x14ac:dyDescent="0.2">
      <c r="A277" s="226" t="s">
        <v>61</v>
      </c>
      <c r="B277" s="313" t="s">
        <v>313</v>
      </c>
      <c r="C277" s="319" t="s">
        <v>289</v>
      </c>
      <c r="D277" s="320" t="s">
        <v>62</v>
      </c>
      <c r="E277" s="320" t="s">
        <v>105</v>
      </c>
      <c r="F277" s="320" t="s">
        <v>52</v>
      </c>
      <c r="G277" s="2" t="s">
        <v>15</v>
      </c>
      <c r="H277" s="3">
        <f>SUM(H278:H279)</f>
        <v>27772.063999999998</v>
      </c>
      <c r="I277" s="4" t="s">
        <v>38</v>
      </c>
      <c r="J277" s="227">
        <f>J281*0.01</f>
        <v>13020.473</v>
      </c>
      <c r="K277" s="227">
        <f>K281*0.01</f>
        <v>14751.591</v>
      </c>
    </row>
    <row r="278" spans="1:11" ht="117.75" customHeight="1" x14ac:dyDescent="0.2">
      <c r="A278" s="190"/>
      <c r="B278" s="297"/>
      <c r="C278" s="319"/>
      <c r="D278" s="320"/>
      <c r="E278" s="320"/>
      <c r="F278" s="320"/>
      <c r="G278" s="2" t="s">
        <v>17</v>
      </c>
      <c r="H278" s="198">
        <f>J277</f>
        <v>13020.473</v>
      </c>
      <c r="I278" s="69" t="s">
        <v>334</v>
      </c>
      <c r="J278" s="34">
        <f>3+16</f>
        <v>19</v>
      </c>
      <c r="K278" s="34">
        <f>3+15</f>
        <v>18</v>
      </c>
    </row>
    <row r="279" spans="1:11" ht="60" customHeight="1" x14ac:dyDescent="0.2">
      <c r="A279" s="190"/>
      <c r="B279" s="297"/>
      <c r="C279" s="319"/>
      <c r="D279" s="320"/>
      <c r="E279" s="320"/>
      <c r="F279" s="320"/>
      <c r="G279" s="2" t="s">
        <v>19</v>
      </c>
      <c r="H279" s="228">
        <f>K277</f>
        <v>14751.591</v>
      </c>
      <c r="I279" s="76" t="s">
        <v>245</v>
      </c>
      <c r="J279" s="77">
        <f>J277/J278</f>
        <v>685.28805263157892</v>
      </c>
      <c r="K279" s="77">
        <f>K277/K278</f>
        <v>819.53283333333331</v>
      </c>
    </row>
    <row r="280" spans="1:11" ht="101.25" customHeight="1" x14ac:dyDescent="0.2">
      <c r="A280" s="190"/>
      <c r="B280" s="297"/>
      <c r="C280" s="319"/>
      <c r="D280" s="320"/>
      <c r="E280" s="320"/>
      <c r="F280" s="321"/>
      <c r="G280" s="229"/>
      <c r="H280" s="230"/>
      <c r="I280" s="55" t="s">
        <v>335</v>
      </c>
      <c r="J280" s="77">
        <v>100</v>
      </c>
      <c r="K280" s="77">
        <f>K277/J277*100</f>
        <v>113.29535417031317</v>
      </c>
    </row>
    <row r="281" spans="1:11" ht="40.5" customHeight="1" x14ac:dyDescent="0.2">
      <c r="A281" s="190"/>
      <c r="B281" s="297"/>
      <c r="C281" s="319" t="s">
        <v>290</v>
      </c>
      <c r="D281" s="320" t="s">
        <v>62</v>
      </c>
      <c r="E281" s="320" t="s">
        <v>105</v>
      </c>
      <c r="F281" s="320" t="s">
        <v>52</v>
      </c>
      <c r="G281" s="2" t="s">
        <v>15</v>
      </c>
      <c r="H281" s="3">
        <f>SUM(H282:H283)</f>
        <v>2777206.4000000004</v>
      </c>
      <c r="I281" s="4" t="s">
        <v>38</v>
      </c>
      <c r="J281" s="77">
        <v>1302047.3</v>
      </c>
      <c r="K281" s="77">
        <v>1475159.1</v>
      </c>
    </row>
    <row r="282" spans="1:11" ht="120.75" customHeight="1" x14ac:dyDescent="0.2">
      <c r="A282" s="190"/>
      <c r="B282" s="297"/>
      <c r="C282" s="319"/>
      <c r="D282" s="320"/>
      <c r="E282" s="320"/>
      <c r="F282" s="320"/>
      <c r="G282" s="2" t="s">
        <v>17</v>
      </c>
      <c r="H282" s="198">
        <f>J281</f>
        <v>1302047.3</v>
      </c>
      <c r="I282" s="69" t="s">
        <v>198</v>
      </c>
      <c r="J282" s="34">
        <v>13389</v>
      </c>
      <c r="K282" s="34">
        <v>13861</v>
      </c>
    </row>
    <row r="283" spans="1:11" ht="82.5" customHeight="1" x14ac:dyDescent="0.2">
      <c r="A283" s="190"/>
      <c r="B283" s="297"/>
      <c r="C283" s="319"/>
      <c r="D283" s="320"/>
      <c r="E283" s="320"/>
      <c r="F283" s="320"/>
      <c r="G283" s="2" t="s">
        <v>19</v>
      </c>
      <c r="H283" s="228">
        <f>K281</f>
        <v>1475159.1</v>
      </c>
      <c r="I283" s="76" t="s">
        <v>199</v>
      </c>
      <c r="J283" s="77">
        <f>J281/J282</f>
        <v>97.247539024572418</v>
      </c>
      <c r="K283" s="77">
        <f>K281/K282</f>
        <v>106.42515691508549</v>
      </c>
    </row>
    <row r="284" spans="1:11" ht="90" customHeight="1" x14ac:dyDescent="0.2">
      <c r="A284" s="190"/>
      <c r="B284" s="297"/>
      <c r="C284" s="319"/>
      <c r="D284" s="320"/>
      <c r="E284" s="320"/>
      <c r="F284" s="321"/>
      <c r="G284" s="229"/>
      <c r="H284" s="230"/>
      <c r="I284" s="52" t="s">
        <v>200</v>
      </c>
      <c r="J284" s="77">
        <v>100</v>
      </c>
      <c r="K284" s="77">
        <f>K282/J282*100</f>
        <v>103.52528194786765</v>
      </c>
    </row>
    <row r="285" spans="1:11" ht="40.5" customHeight="1" x14ac:dyDescent="0.2">
      <c r="A285" s="190"/>
      <c r="B285" s="297"/>
      <c r="C285" s="311" t="s">
        <v>291</v>
      </c>
      <c r="D285" s="320" t="s">
        <v>62</v>
      </c>
      <c r="E285" s="316" t="s">
        <v>337</v>
      </c>
      <c r="F285" s="363" t="s">
        <v>52</v>
      </c>
      <c r="G285" s="2" t="s">
        <v>15</v>
      </c>
      <c r="H285" s="3">
        <f>SUM(H286:H289)</f>
        <v>122836.14000000001</v>
      </c>
      <c r="I285" s="4" t="s">
        <v>38</v>
      </c>
      <c r="J285" s="77">
        <f>55708*1.05</f>
        <v>58493.4</v>
      </c>
      <c r="K285" s="77">
        <f>J285*1.1</f>
        <v>64342.740000000005</v>
      </c>
    </row>
    <row r="286" spans="1:11" ht="116.25" customHeight="1" x14ac:dyDescent="0.2">
      <c r="A286" s="190"/>
      <c r="B286" s="297"/>
      <c r="C286" s="311"/>
      <c r="D286" s="320"/>
      <c r="E286" s="362"/>
      <c r="F286" s="363"/>
      <c r="G286" s="2" t="s">
        <v>17</v>
      </c>
      <c r="H286" s="198">
        <f>J285</f>
        <v>58493.4</v>
      </c>
      <c r="I286" s="69" t="s">
        <v>336</v>
      </c>
      <c r="J286" s="34">
        <v>31500</v>
      </c>
      <c r="K286" s="34">
        <v>32000</v>
      </c>
    </row>
    <row r="287" spans="1:11" ht="21.75" customHeight="1" x14ac:dyDescent="0.2">
      <c r="A287" s="190"/>
      <c r="B287" s="297"/>
      <c r="C287" s="311"/>
      <c r="D287" s="320"/>
      <c r="E287" s="362"/>
      <c r="F287" s="363"/>
      <c r="G287" s="2" t="s">
        <v>19</v>
      </c>
      <c r="H287" s="198">
        <f>K285</f>
        <v>64342.740000000005</v>
      </c>
      <c r="I287" s="52" t="s">
        <v>131</v>
      </c>
      <c r="J287" s="34">
        <v>26775</v>
      </c>
      <c r="K287" s="34">
        <v>27200</v>
      </c>
    </row>
    <row r="288" spans="1:11" ht="21.75" customHeight="1" x14ac:dyDescent="0.2">
      <c r="A288" s="190"/>
      <c r="B288" s="297"/>
      <c r="C288" s="311"/>
      <c r="D288" s="320"/>
      <c r="E288" s="362"/>
      <c r="F288" s="363"/>
      <c r="G288" s="267"/>
      <c r="H288" s="268"/>
      <c r="I288" s="52" t="s">
        <v>71</v>
      </c>
      <c r="J288" s="34">
        <v>4725</v>
      </c>
      <c r="K288" s="34">
        <v>4800</v>
      </c>
    </row>
    <row r="289" spans="1:11" ht="70.5" customHeight="1" x14ac:dyDescent="0.2">
      <c r="A289" s="190"/>
      <c r="B289" s="297"/>
      <c r="C289" s="311"/>
      <c r="D289" s="320"/>
      <c r="E289" s="362"/>
      <c r="F289" s="363"/>
      <c r="G289" s="282"/>
      <c r="H289" s="358"/>
      <c r="I289" s="52" t="s">
        <v>366</v>
      </c>
      <c r="J289" s="34">
        <v>3681</v>
      </c>
      <c r="K289" s="34">
        <v>3681</v>
      </c>
    </row>
    <row r="290" spans="1:11" ht="113.25" customHeight="1" x14ac:dyDescent="0.2">
      <c r="A290" s="190"/>
      <c r="B290" s="297"/>
      <c r="C290" s="311"/>
      <c r="D290" s="320"/>
      <c r="E290" s="362"/>
      <c r="F290" s="364"/>
      <c r="G290" s="282"/>
      <c r="H290" s="358"/>
      <c r="I290" s="76" t="s">
        <v>139</v>
      </c>
      <c r="J290" s="231">
        <f>J285/J286</f>
        <v>1.8569333333333333</v>
      </c>
      <c r="K290" s="231">
        <f>K285/K286</f>
        <v>2.0107106250000002</v>
      </c>
    </row>
    <row r="291" spans="1:11" ht="99.75" customHeight="1" x14ac:dyDescent="0.2">
      <c r="A291" s="190"/>
      <c r="B291" s="302"/>
      <c r="C291" s="311"/>
      <c r="D291" s="320"/>
      <c r="E291" s="362"/>
      <c r="F291" s="364"/>
      <c r="G291" s="232"/>
      <c r="H291" s="233"/>
      <c r="I291" s="55" t="s">
        <v>201</v>
      </c>
      <c r="J291" s="77">
        <v>100</v>
      </c>
      <c r="K291" s="77">
        <f>K286/J286*100</f>
        <v>101.58730158730158</v>
      </c>
    </row>
    <row r="292" spans="1:11" ht="40.5" customHeight="1" x14ac:dyDescent="0.2">
      <c r="A292" s="190"/>
      <c r="B292" s="319" t="s">
        <v>314</v>
      </c>
      <c r="C292" s="319" t="s">
        <v>292</v>
      </c>
      <c r="D292" s="285" t="s">
        <v>62</v>
      </c>
      <c r="E292" s="316" t="s">
        <v>94</v>
      </c>
      <c r="F292" s="316" t="s">
        <v>52</v>
      </c>
      <c r="G292" s="2" t="s">
        <v>15</v>
      </c>
      <c r="H292" s="3">
        <f>SUM(H293:H294)</f>
        <v>3620</v>
      </c>
      <c r="I292" s="4" t="s">
        <v>38</v>
      </c>
      <c r="J292" s="33">
        <f>1330+510</f>
        <v>1840</v>
      </c>
      <c r="K292" s="33">
        <f>1270+510</f>
        <v>1780</v>
      </c>
    </row>
    <row r="293" spans="1:11" ht="69" customHeight="1" x14ac:dyDescent="0.2">
      <c r="A293" s="190"/>
      <c r="B293" s="319"/>
      <c r="C293" s="351"/>
      <c r="D293" s="286"/>
      <c r="E293" s="317"/>
      <c r="F293" s="317"/>
      <c r="G293" s="2" t="s">
        <v>17</v>
      </c>
      <c r="H293" s="198">
        <f>J292</f>
        <v>1840</v>
      </c>
      <c r="I293" s="154" t="s">
        <v>367</v>
      </c>
      <c r="J293" s="34">
        <v>162</v>
      </c>
      <c r="K293" s="34">
        <v>162</v>
      </c>
    </row>
    <row r="294" spans="1:11" ht="63.75" customHeight="1" x14ac:dyDescent="0.2">
      <c r="A294" s="190"/>
      <c r="B294" s="319"/>
      <c r="C294" s="351"/>
      <c r="D294" s="286"/>
      <c r="E294" s="317"/>
      <c r="F294" s="317"/>
      <c r="G294" s="2" t="s">
        <v>19</v>
      </c>
      <c r="H294" s="201">
        <f>K292</f>
        <v>1780</v>
      </c>
      <c r="I294" s="234" t="s">
        <v>368</v>
      </c>
      <c r="J294" s="34">
        <v>4</v>
      </c>
      <c r="K294" s="34">
        <v>3</v>
      </c>
    </row>
    <row r="295" spans="1:11" ht="105" customHeight="1" x14ac:dyDescent="0.2">
      <c r="A295" s="190"/>
      <c r="B295" s="319"/>
      <c r="C295" s="351"/>
      <c r="D295" s="286"/>
      <c r="E295" s="317"/>
      <c r="F295" s="317"/>
      <c r="G295" s="6"/>
      <c r="H295" s="6"/>
      <c r="I295" s="154" t="s">
        <v>126</v>
      </c>
      <c r="J295" s="33">
        <f>J292/(J293+J294)</f>
        <v>11.08433734939759</v>
      </c>
      <c r="K295" s="33">
        <f>K292/(K293+K294)</f>
        <v>10.787878787878787</v>
      </c>
    </row>
    <row r="296" spans="1:11" ht="53.25" customHeight="1" x14ac:dyDescent="0.2">
      <c r="A296" s="190"/>
      <c r="B296" s="319"/>
      <c r="C296" s="351"/>
      <c r="D296" s="287"/>
      <c r="E296" s="318"/>
      <c r="F296" s="318"/>
      <c r="G296" s="229"/>
      <c r="H296" s="230"/>
      <c r="I296" s="55" t="s">
        <v>41</v>
      </c>
      <c r="J296" s="33">
        <v>100</v>
      </c>
      <c r="K296" s="33">
        <v>100</v>
      </c>
    </row>
    <row r="297" spans="1:11" ht="30" customHeight="1" x14ac:dyDescent="0.2">
      <c r="A297" s="208"/>
      <c r="B297" s="280" t="s">
        <v>169</v>
      </c>
      <c r="C297" s="306"/>
      <c r="D297" s="158"/>
      <c r="E297" s="159" t="s">
        <v>15</v>
      </c>
      <c r="F297" s="235">
        <f>F298+F299</f>
        <v>3034939.2039999999</v>
      </c>
      <c r="G297" s="236"/>
      <c r="H297" s="105"/>
      <c r="I297" s="123"/>
      <c r="J297" s="237"/>
      <c r="K297" s="238"/>
    </row>
    <row r="298" spans="1:11" ht="22.5" customHeight="1" x14ac:dyDescent="0.25">
      <c r="A298" s="208"/>
      <c r="B298" s="307"/>
      <c r="C298" s="308"/>
      <c r="D298" s="161"/>
      <c r="E298" s="159" t="s">
        <v>17</v>
      </c>
      <c r="F298" s="239">
        <f>H262+H266+H270+H274+H278+H282+H286+H293</f>
        <v>1426792.173</v>
      </c>
      <c r="G298" s="240"/>
      <c r="H298" s="241"/>
      <c r="I298" s="126"/>
      <c r="J298" s="242"/>
      <c r="K298" s="243"/>
    </row>
    <row r="299" spans="1:11" ht="24" customHeight="1" x14ac:dyDescent="0.25">
      <c r="A299" s="208"/>
      <c r="B299" s="309"/>
      <c r="C299" s="310"/>
      <c r="D299" s="163"/>
      <c r="E299" s="159" t="s">
        <v>19</v>
      </c>
      <c r="F299" s="239">
        <f>H263+H267+H271+H275+H279+H283+H287+H294</f>
        <v>1608147.0310000002</v>
      </c>
      <c r="G299" s="244"/>
      <c r="H299" s="245"/>
      <c r="I299" s="206"/>
      <c r="J299" s="246"/>
      <c r="K299" s="247"/>
    </row>
    <row r="300" spans="1:11" ht="21.75" customHeight="1" x14ac:dyDescent="0.2">
      <c r="A300" s="146"/>
      <c r="B300" s="326" t="s">
        <v>121</v>
      </c>
      <c r="C300" s="327"/>
      <c r="D300" s="327"/>
      <c r="E300" s="327"/>
      <c r="F300" s="328"/>
      <c r="G300" s="165" t="s">
        <v>15</v>
      </c>
      <c r="H300" s="166">
        <f>SUM(H301:H302)</f>
        <v>4669876.5040000007</v>
      </c>
      <c r="I300" s="359"/>
      <c r="J300" s="360"/>
      <c r="K300" s="361"/>
    </row>
    <row r="301" spans="1:11" ht="27" customHeight="1" x14ac:dyDescent="0.2">
      <c r="A301" s="70"/>
      <c r="B301" s="326"/>
      <c r="C301" s="329"/>
      <c r="D301" s="329"/>
      <c r="E301" s="329"/>
      <c r="F301" s="329"/>
      <c r="G301" s="86" t="s">
        <v>17</v>
      </c>
      <c r="H301" s="248">
        <f>H226+H230+H234+H238+H244+H250+H254+H262+H266+H270+H274+H278+H282+H286+H293</f>
        <v>2205861.3730000001</v>
      </c>
      <c r="I301" s="333"/>
      <c r="J301" s="333"/>
      <c r="K301" s="334"/>
    </row>
    <row r="302" spans="1:11" ht="26.45" customHeight="1" x14ac:dyDescent="0.2">
      <c r="A302" s="70"/>
      <c r="B302" s="326"/>
      <c r="C302" s="327"/>
      <c r="D302" s="327"/>
      <c r="E302" s="327"/>
      <c r="F302" s="328"/>
      <c r="G302" s="82" t="s">
        <v>19</v>
      </c>
      <c r="H302" s="248">
        <f>H227+H231+H235+H239+H245+H251+H255+H263+H267+H271+H275+H279+H283+H287+H294</f>
        <v>2464015.1310000001</v>
      </c>
      <c r="I302" s="335"/>
      <c r="J302" s="336"/>
      <c r="K302" s="337"/>
    </row>
    <row r="303" spans="1:11" ht="41.25" customHeight="1" x14ac:dyDescent="0.2">
      <c r="A303" s="180"/>
      <c r="B303" s="181"/>
      <c r="C303" s="181"/>
      <c r="D303" s="181"/>
      <c r="E303" s="181"/>
      <c r="F303" s="181"/>
      <c r="G303" s="65" t="s">
        <v>52</v>
      </c>
      <c r="H303" s="3">
        <f>H300</f>
        <v>4669876.5040000007</v>
      </c>
      <c r="I303" s="183"/>
      <c r="J303" s="183"/>
      <c r="K303" s="184"/>
    </row>
    <row r="304" spans="1:11" ht="26.45" customHeight="1" x14ac:dyDescent="0.2">
      <c r="A304" s="168"/>
      <c r="B304" s="169"/>
      <c r="C304" s="169"/>
      <c r="D304" s="169"/>
      <c r="E304" s="169"/>
      <c r="F304" s="169"/>
      <c r="G304" s="67" t="s">
        <v>17</v>
      </c>
      <c r="H304" s="68">
        <f>H301</f>
        <v>2205861.3730000001</v>
      </c>
      <c r="I304" s="170"/>
      <c r="J304" s="170"/>
      <c r="K304" s="185"/>
    </row>
    <row r="305" spans="1:11" ht="26.45" customHeight="1" x14ac:dyDescent="0.2">
      <c r="A305" s="186"/>
      <c r="B305" s="187"/>
      <c r="C305" s="187"/>
      <c r="D305" s="187"/>
      <c r="E305" s="187"/>
      <c r="F305" s="187"/>
      <c r="G305" s="67" t="s">
        <v>19</v>
      </c>
      <c r="H305" s="68">
        <f>H302</f>
        <v>2464015.1310000001</v>
      </c>
      <c r="I305" s="171"/>
      <c r="J305" s="171"/>
      <c r="K305" s="188"/>
    </row>
    <row r="306" spans="1:11" ht="24.75" customHeight="1" x14ac:dyDescent="0.2">
      <c r="A306" s="355" t="s">
        <v>173</v>
      </c>
      <c r="B306" s="356"/>
      <c r="C306" s="356"/>
      <c r="D306" s="356"/>
      <c r="E306" s="356"/>
      <c r="F306" s="356"/>
      <c r="G306" s="356"/>
      <c r="H306" s="356"/>
      <c r="I306" s="356"/>
      <c r="J306" s="356"/>
      <c r="K306" s="356"/>
    </row>
    <row r="307" spans="1:11" ht="41.25" customHeight="1" x14ac:dyDescent="0.2">
      <c r="A307" s="16" t="s">
        <v>61</v>
      </c>
      <c r="B307" s="323" t="s">
        <v>315</v>
      </c>
      <c r="C307" s="311" t="s">
        <v>185</v>
      </c>
      <c r="D307" s="352" t="s">
        <v>14</v>
      </c>
      <c r="E307" s="352" t="s">
        <v>98</v>
      </c>
      <c r="F307" s="352" t="s">
        <v>52</v>
      </c>
      <c r="G307" s="2" t="s">
        <v>15</v>
      </c>
      <c r="H307" s="3">
        <f>SUM(H308:H309)</f>
        <v>63000</v>
      </c>
      <c r="I307" s="4" t="s">
        <v>38</v>
      </c>
      <c r="J307" s="5">
        <v>30000</v>
      </c>
      <c r="K307" s="5">
        <v>33000</v>
      </c>
    </row>
    <row r="308" spans="1:11" ht="94.5" customHeight="1" x14ac:dyDescent="0.2">
      <c r="A308" s="249"/>
      <c r="B308" s="343"/>
      <c r="C308" s="311"/>
      <c r="D308" s="352"/>
      <c r="E308" s="352"/>
      <c r="F308" s="352"/>
      <c r="G308" s="2" t="s">
        <v>17</v>
      </c>
      <c r="H308" s="198">
        <f>J307</f>
        <v>30000</v>
      </c>
      <c r="I308" s="223" t="s">
        <v>186</v>
      </c>
      <c r="J308" s="7">
        <v>40</v>
      </c>
      <c r="K308" s="7">
        <v>40</v>
      </c>
    </row>
    <row r="309" spans="1:11" ht="51" x14ac:dyDescent="0.2">
      <c r="A309" s="249"/>
      <c r="B309" s="343"/>
      <c r="C309" s="311"/>
      <c r="D309" s="352"/>
      <c r="E309" s="352"/>
      <c r="F309" s="352"/>
      <c r="G309" s="67" t="s">
        <v>19</v>
      </c>
      <c r="H309" s="228">
        <f>K307</f>
        <v>33000</v>
      </c>
      <c r="I309" s="154" t="s">
        <v>202</v>
      </c>
      <c r="J309" s="5">
        <f>J307/J308</f>
        <v>750</v>
      </c>
      <c r="K309" s="5">
        <f>K307/K308</f>
        <v>825</v>
      </c>
    </row>
    <row r="310" spans="1:11" ht="103.5" customHeight="1" x14ac:dyDescent="0.2">
      <c r="A310" s="249"/>
      <c r="B310" s="343"/>
      <c r="C310" s="311"/>
      <c r="D310" s="352"/>
      <c r="E310" s="352"/>
      <c r="F310" s="352"/>
      <c r="G310" s="210"/>
      <c r="H310" s="211"/>
      <c r="I310" s="52" t="s">
        <v>338</v>
      </c>
      <c r="J310" s="77">
        <v>100</v>
      </c>
      <c r="K310" s="77">
        <v>100</v>
      </c>
    </row>
    <row r="311" spans="1:11" ht="39.75" customHeight="1" x14ac:dyDescent="0.2">
      <c r="A311" s="249"/>
      <c r="B311" s="343"/>
      <c r="C311" s="354" t="s">
        <v>77</v>
      </c>
      <c r="D311" s="352" t="s">
        <v>14</v>
      </c>
      <c r="E311" s="352" t="s">
        <v>98</v>
      </c>
      <c r="F311" s="352" t="s">
        <v>52</v>
      </c>
      <c r="G311" s="2" t="s">
        <v>15</v>
      </c>
      <c r="H311" s="3">
        <f>SUM(H312:H313)</f>
        <v>93000</v>
      </c>
      <c r="I311" s="250" t="s">
        <v>78</v>
      </c>
      <c r="J311" s="173">
        <v>45000</v>
      </c>
      <c r="K311" s="173">
        <v>48000</v>
      </c>
    </row>
    <row r="312" spans="1:11" ht="51" x14ac:dyDescent="0.2">
      <c r="A312" s="249"/>
      <c r="B312" s="343"/>
      <c r="C312" s="354"/>
      <c r="D312" s="352"/>
      <c r="E312" s="352"/>
      <c r="F312" s="352"/>
      <c r="G312" s="2" t="s">
        <v>17</v>
      </c>
      <c r="H312" s="198">
        <f>J311</f>
        <v>45000</v>
      </c>
      <c r="I312" s="250" t="s">
        <v>79</v>
      </c>
      <c r="J312" s="7">
        <v>124400</v>
      </c>
      <c r="K312" s="7">
        <v>129700</v>
      </c>
    </row>
    <row r="313" spans="1:11" ht="51" x14ac:dyDescent="0.2">
      <c r="A313" s="249"/>
      <c r="B313" s="343"/>
      <c r="C313" s="354"/>
      <c r="D313" s="352"/>
      <c r="E313" s="352"/>
      <c r="F313" s="353"/>
      <c r="G313" s="2" t="s">
        <v>19</v>
      </c>
      <c r="H313" s="9">
        <f>K311</f>
        <v>48000</v>
      </c>
      <c r="I313" s="251" t="s">
        <v>99</v>
      </c>
      <c r="J313" s="5">
        <f>J311/J312</f>
        <v>0.36173633440514469</v>
      </c>
      <c r="K313" s="5">
        <f>K311/K312</f>
        <v>0.37008481110254432</v>
      </c>
    </row>
    <row r="314" spans="1:11" ht="76.5" x14ac:dyDescent="0.2">
      <c r="A314" s="249"/>
      <c r="B314" s="357"/>
      <c r="C314" s="354"/>
      <c r="D314" s="352"/>
      <c r="E314" s="352"/>
      <c r="F314" s="353"/>
      <c r="G314" s="252"/>
      <c r="H314" s="253"/>
      <c r="I314" s="55" t="s">
        <v>170</v>
      </c>
      <c r="J314" s="77">
        <v>100</v>
      </c>
      <c r="K314" s="13">
        <f>K312/J312*100</f>
        <v>104.2604501607717</v>
      </c>
    </row>
    <row r="315" spans="1:11" ht="72" customHeight="1" x14ac:dyDescent="0.2">
      <c r="A315" s="249"/>
      <c r="B315" s="354"/>
      <c r="C315" s="354" t="s">
        <v>316</v>
      </c>
      <c r="D315" s="352" t="s">
        <v>14</v>
      </c>
      <c r="E315" s="352" t="s">
        <v>98</v>
      </c>
      <c r="F315" s="352" t="s">
        <v>52</v>
      </c>
      <c r="G315" s="2" t="s">
        <v>15</v>
      </c>
      <c r="H315" s="3">
        <f>SUM(H316:H317)</f>
        <v>29400</v>
      </c>
      <c r="I315" s="4" t="s">
        <v>38</v>
      </c>
      <c r="J315" s="173">
        <v>14000</v>
      </c>
      <c r="K315" s="173">
        <v>15400</v>
      </c>
    </row>
    <row r="316" spans="1:11" ht="94.5" customHeight="1" x14ac:dyDescent="0.2">
      <c r="A316" s="249"/>
      <c r="B316" s="354"/>
      <c r="C316" s="354"/>
      <c r="D316" s="352"/>
      <c r="E316" s="352"/>
      <c r="F316" s="352"/>
      <c r="G316" s="2" t="s">
        <v>17</v>
      </c>
      <c r="H316" s="198">
        <f>J315</f>
        <v>14000</v>
      </c>
      <c r="I316" s="154" t="s">
        <v>339</v>
      </c>
      <c r="J316" s="7">
        <v>20</v>
      </c>
      <c r="K316" s="7">
        <v>22</v>
      </c>
    </row>
    <row r="317" spans="1:11" ht="80.25" customHeight="1" x14ac:dyDescent="0.2">
      <c r="A317" s="249"/>
      <c r="B317" s="354"/>
      <c r="C317" s="354"/>
      <c r="D317" s="352"/>
      <c r="E317" s="352"/>
      <c r="F317" s="352"/>
      <c r="G317" s="2" t="s">
        <v>19</v>
      </c>
      <c r="H317" s="9">
        <f>K315</f>
        <v>15400</v>
      </c>
      <c r="I317" s="154" t="s">
        <v>203</v>
      </c>
      <c r="J317" s="5">
        <f>J315/J316</f>
        <v>700</v>
      </c>
      <c r="K317" s="5">
        <f>K315/K316</f>
        <v>700</v>
      </c>
    </row>
    <row r="318" spans="1:11" ht="113.25" customHeight="1" x14ac:dyDescent="0.2">
      <c r="A318" s="249"/>
      <c r="B318" s="354"/>
      <c r="C318" s="354"/>
      <c r="D318" s="352"/>
      <c r="E318" s="352"/>
      <c r="F318" s="352"/>
      <c r="G318" s="252"/>
      <c r="H318" s="253"/>
      <c r="I318" s="52" t="s">
        <v>340</v>
      </c>
      <c r="J318" s="77">
        <v>100</v>
      </c>
      <c r="K318" s="77">
        <f>K316/J316*100</f>
        <v>110.00000000000001</v>
      </c>
    </row>
    <row r="319" spans="1:11" ht="38.25" customHeight="1" x14ac:dyDescent="0.2">
      <c r="A319" s="249"/>
      <c r="B319" s="295"/>
      <c r="C319" s="324" t="s">
        <v>317</v>
      </c>
      <c r="D319" s="324" t="s">
        <v>14</v>
      </c>
      <c r="E319" s="324" t="s">
        <v>100</v>
      </c>
      <c r="F319" s="324" t="s">
        <v>52</v>
      </c>
      <c r="G319" s="2" t="s">
        <v>15</v>
      </c>
      <c r="H319" s="3">
        <f>SUM(H320:H321)</f>
        <v>63000</v>
      </c>
      <c r="I319" s="250" t="s">
        <v>350</v>
      </c>
      <c r="J319" s="173">
        <v>30000</v>
      </c>
      <c r="K319" s="173">
        <v>33000</v>
      </c>
    </row>
    <row r="320" spans="1:11" ht="75" customHeight="1" x14ac:dyDescent="0.2">
      <c r="A320" s="249"/>
      <c r="B320" s="295"/>
      <c r="C320" s="324"/>
      <c r="D320" s="324"/>
      <c r="E320" s="324"/>
      <c r="F320" s="324"/>
      <c r="G320" s="2" t="s">
        <v>17</v>
      </c>
      <c r="H320" s="198">
        <f>J319</f>
        <v>30000</v>
      </c>
      <c r="I320" s="223" t="s">
        <v>171</v>
      </c>
      <c r="J320" s="7">
        <v>3</v>
      </c>
      <c r="K320" s="7">
        <v>3</v>
      </c>
    </row>
    <row r="321" spans="1:11" ht="68.25" customHeight="1" x14ac:dyDescent="0.2">
      <c r="A321" s="249"/>
      <c r="B321" s="295"/>
      <c r="C321" s="324"/>
      <c r="D321" s="324"/>
      <c r="E321" s="324"/>
      <c r="F321" s="324"/>
      <c r="G321" s="2" t="s">
        <v>19</v>
      </c>
      <c r="H321" s="9">
        <f>K319</f>
        <v>33000</v>
      </c>
      <c r="I321" s="223" t="s">
        <v>341</v>
      </c>
      <c r="J321" s="5">
        <f>J319/J320</f>
        <v>10000</v>
      </c>
      <c r="K321" s="5">
        <f>K319/K320</f>
        <v>11000</v>
      </c>
    </row>
    <row r="322" spans="1:11" ht="55.5" customHeight="1" x14ac:dyDescent="0.2">
      <c r="A322" s="249"/>
      <c r="B322" s="295"/>
      <c r="C322" s="324"/>
      <c r="D322" s="324"/>
      <c r="E322" s="324"/>
      <c r="F322" s="324"/>
      <c r="G322" s="252"/>
      <c r="H322" s="253"/>
      <c r="I322" s="55" t="s">
        <v>342</v>
      </c>
      <c r="J322" s="77">
        <v>100</v>
      </c>
      <c r="K322" s="77"/>
    </row>
    <row r="323" spans="1:11" ht="45" customHeight="1" x14ac:dyDescent="0.2">
      <c r="A323" s="249"/>
      <c r="B323" s="14"/>
      <c r="C323" s="16"/>
      <c r="D323" s="16"/>
      <c r="E323" s="16"/>
      <c r="F323" s="16"/>
      <c r="G323" s="149"/>
      <c r="H323" s="150"/>
      <c r="I323" s="55" t="s">
        <v>369</v>
      </c>
      <c r="J323" s="77">
        <v>70</v>
      </c>
      <c r="K323" s="77">
        <v>100</v>
      </c>
    </row>
    <row r="324" spans="1:11" ht="38.25" customHeight="1" x14ac:dyDescent="0.2">
      <c r="A324" s="249"/>
      <c r="B324" s="271"/>
      <c r="C324" s="271" t="s">
        <v>343</v>
      </c>
      <c r="D324" s="288" t="s">
        <v>14</v>
      </c>
      <c r="E324" s="288" t="s">
        <v>100</v>
      </c>
      <c r="F324" s="288" t="s">
        <v>52</v>
      </c>
      <c r="G324" s="2" t="s">
        <v>15</v>
      </c>
      <c r="H324" s="3">
        <f>SUM(H325:H326)</f>
        <v>22000</v>
      </c>
      <c r="I324" s="250" t="s">
        <v>346</v>
      </c>
      <c r="J324" s="173">
        <v>10000</v>
      </c>
      <c r="K324" s="173">
        <v>12000</v>
      </c>
    </row>
    <row r="325" spans="1:11" ht="67.5" customHeight="1" x14ac:dyDescent="0.2">
      <c r="A325" s="249"/>
      <c r="B325" s="296"/>
      <c r="C325" s="296"/>
      <c r="D325" s="289"/>
      <c r="E325" s="289"/>
      <c r="F325" s="289"/>
      <c r="G325" s="2" t="s">
        <v>17</v>
      </c>
      <c r="H325" s="198">
        <f>J324</f>
        <v>10000</v>
      </c>
      <c r="I325" s="223" t="s">
        <v>101</v>
      </c>
      <c r="J325" s="8">
        <v>417</v>
      </c>
      <c r="K325" s="8">
        <v>500</v>
      </c>
    </row>
    <row r="326" spans="1:11" ht="76.5" x14ac:dyDescent="0.2">
      <c r="A326" s="249"/>
      <c r="B326" s="296"/>
      <c r="C326" s="296"/>
      <c r="D326" s="289"/>
      <c r="E326" s="289"/>
      <c r="F326" s="289"/>
      <c r="G326" s="2" t="s">
        <v>19</v>
      </c>
      <c r="H326" s="9">
        <f>K324</f>
        <v>12000</v>
      </c>
      <c r="I326" s="223" t="s">
        <v>204</v>
      </c>
      <c r="J326" s="48">
        <f>J324/J325</f>
        <v>23.980815347721823</v>
      </c>
      <c r="K326" s="48">
        <f>K324/K325</f>
        <v>24</v>
      </c>
    </row>
    <row r="327" spans="1:11" ht="76.5" x14ac:dyDescent="0.2">
      <c r="A327" s="249"/>
      <c r="B327" s="322"/>
      <c r="C327" s="322"/>
      <c r="D327" s="293"/>
      <c r="E327" s="293"/>
      <c r="F327" s="293"/>
      <c r="G327" s="252"/>
      <c r="H327" s="253"/>
      <c r="I327" s="223" t="s">
        <v>172</v>
      </c>
      <c r="J327" s="13">
        <v>100</v>
      </c>
      <c r="K327" s="13">
        <f>K325/J325*100</f>
        <v>119.90407673860912</v>
      </c>
    </row>
    <row r="328" spans="1:11" ht="39.75" customHeight="1" x14ac:dyDescent="0.2">
      <c r="A328" s="249"/>
      <c r="B328" s="271"/>
      <c r="C328" s="319" t="s">
        <v>344</v>
      </c>
      <c r="D328" s="288" t="s">
        <v>14</v>
      </c>
      <c r="E328" s="295" t="s">
        <v>100</v>
      </c>
      <c r="F328" s="288" t="s">
        <v>52</v>
      </c>
      <c r="G328" s="2" t="s">
        <v>15</v>
      </c>
      <c r="H328" s="3">
        <f>SUM(H329:H330)</f>
        <v>525</v>
      </c>
      <c r="I328" s="250" t="s">
        <v>350</v>
      </c>
      <c r="J328" s="48">
        <v>250</v>
      </c>
      <c r="K328" s="48">
        <v>275</v>
      </c>
    </row>
    <row r="329" spans="1:11" ht="66.75" customHeight="1" x14ac:dyDescent="0.2">
      <c r="A329" s="249"/>
      <c r="B329" s="272"/>
      <c r="C329" s="351"/>
      <c r="D329" s="289"/>
      <c r="E329" s="350"/>
      <c r="F329" s="289"/>
      <c r="G329" s="2" t="s">
        <v>17</v>
      </c>
      <c r="H329" s="198">
        <f>J328</f>
        <v>250</v>
      </c>
      <c r="I329" s="250" t="s">
        <v>80</v>
      </c>
      <c r="J329" s="8">
        <v>50</v>
      </c>
      <c r="K329" s="8">
        <v>50</v>
      </c>
    </row>
    <row r="330" spans="1:11" ht="78" customHeight="1" x14ac:dyDescent="0.2">
      <c r="A330" s="249"/>
      <c r="B330" s="272"/>
      <c r="C330" s="351"/>
      <c r="D330" s="289"/>
      <c r="E330" s="350"/>
      <c r="F330" s="289"/>
      <c r="G330" s="2" t="s">
        <v>19</v>
      </c>
      <c r="H330" s="9">
        <f>K328</f>
        <v>275</v>
      </c>
      <c r="I330" s="250" t="s">
        <v>205</v>
      </c>
      <c r="J330" s="48">
        <f>J328/J329</f>
        <v>5</v>
      </c>
      <c r="K330" s="48">
        <f>K328/K329</f>
        <v>5.5</v>
      </c>
    </row>
    <row r="331" spans="1:11" ht="57" customHeight="1" x14ac:dyDescent="0.2">
      <c r="A331" s="249"/>
      <c r="B331" s="272"/>
      <c r="C331" s="351"/>
      <c r="D331" s="293"/>
      <c r="E331" s="350"/>
      <c r="F331" s="293"/>
      <c r="G331" s="252"/>
      <c r="H331" s="253"/>
      <c r="I331" s="250" t="s">
        <v>345</v>
      </c>
      <c r="J331" s="13">
        <v>100</v>
      </c>
      <c r="K331" s="13">
        <v>100</v>
      </c>
    </row>
    <row r="332" spans="1:11" ht="57" customHeight="1" x14ac:dyDescent="0.2">
      <c r="A332" s="249"/>
      <c r="B332" s="91"/>
      <c r="C332" s="295" t="s">
        <v>318</v>
      </c>
      <c r="D332" s="288" t="s">
        <v>14</v>
      </c>
      <c r="E332" s="295" t="s">
        <v>100</v>
      </c>
      <c r="F332" s="288" t="s">
        <v>52</v>
      </c>
      <c r="G332" s="2" t="s">
        <v>15</v>
      </c>
      <c r="H332" s="3">
        <f>SUM(H333:H334)</f>
        <v>525</v>
      </c>
      <c r="I332" s="250" t="s">
        <v>346</v>
      </c>
      <c r="J332" s="48">
        <v>250</v>
      </c>
      <c r="K332" s="48">
        <v>275</v>
      </c>
    </row>
    <row r="333" spans="1:11" ht="57" customHeight="1" x14ac:dyDescent="0.2">
      <c r="A333" s="249"/>
      <c r="B333" s="91"/>
      <c r="C333" s="350"/>
      <c r="D333" s="289"/>
      <c r="E333" s="350"/>
      <c r="F333" s="289"/>
      <c r="G333" s="2" t="s">
        <v>17</v>
      </c>
      <c r="H333" s="198">
        <f>J332</f>
        <v>250</v>
      </c>
      <c r="I333" s="250" t="s">
        <v>81</v>
      </c>
      <c r="J333" s="8">
        <v>1</v>
      </c>
      <c r="K333" s="8">
        <v>1</v>
      </c>
    </row>
    <row r="334" spans="1:11" ht="65.25" customHeight="1" x14ac:dyDescent="0.2">
      <c r="A334" s="249"/>
      <c r="B334" s="91"/>
      <c r="C334" s="350"/>
      <c r="D334" s="289"/>
      <c r="E334" s="350"/>
      <c r="F334" s="289"/>
      <c r="G334" s="2" t="s">
        <v>19</v>
      </c>
      <c r="H334" s="9">
        <f>K332</f>
        <v>275</v>
      </c>
      <c r="I334" s="223" t="s">
        <v>187</v>
      </c>
      <c r="J334" s="48">
        <f>J332/J333</f>
        <v>250</v>
      </c>
      <c r="K334" s="48">
        <f>K332/K333</f>
        <v>275</v>
      </c>
    </row>
    <row r="335" spans="1:11" ht="72" customHeight="1" x14ac:dyDescent="0.2">
      <c r="A335" s="249"/>
      <c r="B335" s="91"/>
      <c r="C335" s="350"/>
      <c r="D335" s="293"/>
      <c r="E335" s="350"/>
      <c r="F335" s="293"/>
      <c r="G335" s="252"/>
      <c r="H335" s="253"/>
      <c r="I335" s="250" t="s">
        <v>347</v>
      </c>
      <c r="J335" s="13">
        <v>100</v>
      </c>
      <c r="K335" s="13">
        <v>100</v>
      </c>
    </row>
    <row r="336" spans="1:11" ht="54" customHeight="1" x14ac:dyDescent="0.2">
      <c r="A336" s="249"/>
      <c r="B336" s="254"/>
      <c r="C336" s="295" t="s">
        <v>348</v>
      </c>
      <c r="D336" s="288" t="s">
        <v>14</v>
      </c>
      <c r="E336" s="295" t="s">
        <v>100</v>
      </c>
      <c r="F336" s="288" t="s">
        <v>52</v>
      </c>
      <c r="G336" s="2" t="s">
        <v>15</v>
      </c>
      <c r="H336" s="3">
        <f>SUM(H337:H338)</f>
        <v>64939</v>
      </c>
      <c r="I336" s="250" t="s">
        <v>346</v>
      </c>
      <c r="J336" s="48">
        <v>30938</v>
      </c>
      <c r="K336" s="48">
        <v>34001</v>
      </c>
    </row>
    <row r="337" spans="1:11" ht="42" customHeight="1" x14ac:dyDescent="0.2">
      <c r="A337" s="249"/>
      <c r="B337" s="91"/>
      <c r="C337" s="350"/>
      <c r="D337" s="289"/>
      <c r="E337" s="350"/>
      <c r="F337" s="289"/>
      <c r="G337" s="2" t="s">
        <v>17</v>
      </c>
      <c r="H337" s="198">
        <f>J336</f>
        <v>30938</v>
      </c>
      <c r="I337" s="250" t="s">
        <v>246</v>
      </c>
      <c r="J337" s="8">
        <v>1</v>
      </c>
      <c r="K337" s="8">
        <v>1</v>
      </c>
    </row>
    <row r="338" spans="1:11" ht="71.25" customHeight="1" x14ac:dyDescent="0.2">
      <c r="A338" s="249"/>
      <c r="B338" s="91"/>
      <c r="C338" s="350"/>
      <c r="D338" s="289"/>
      <c r="E338" s="350"/>
      <c r="F338" s="289"/>
      <c r="G338" s="2" t="s">
        <v>19</v>
      </c>
      <c r="H338" s="9">
        <f>K336</f>
        <v>34001</v>
      </c>
      <c r="I338" s="223" t="s">
        <v>247</v>
      </c>
      <c r="J338" s="48">
        <f>J336/J337</f>
        <v>30938</v>
      </c>
      <c r="K338" s="48">
        <f>K336/K337</f>
        <v>34001</v>
      </c>
    </row>
    <row r="339" spans="1:11" ht="71.25" customHeight="1" x14ac:dyDescent="0.2">
      <c r="A339" s="255"/>
      <c r="B339" s="54"/>
      <c r="C339" s="350"/>
      <c r="D339" s="293"/>
      <c r="E339" s="350"/>
      <c r="F339" s="293"/>
      <c r="G339" s="252"/>
      <c r="H339" s="253"/>
      <c r="I339" s="250" t="s">
        <v>349</v>
      </c>
      <c r="J339" s="13">
        <v>100</v>
      </c>
      <c r="K339" s="13">
        <v>100</v>
      </c>
    </row>
    <row r="340" spans="1:11" ht="15" customHeight="1" x14ac:dyDescent="0.2">
      <c r="A340" s="256"/>
      <c r="B340" s="340" t="s">
        <v>97</v>
      </c>
      <c r="C340" s="341"/>
      <c r="D340" s="341"/>
      <c r="E340" s="341"/>
      <c r="F340" s="342"/>
      <c r="G340" s="82" t="s">
        <v>15</v>
      </c>
      <c r="H340" s="83">
        <f>SUM(H341:H342)</f>
        <v>336389</v>
      </c>
      <c r="I340" s="303"/>
      <c r="J340" s="304"/>
      <c r="K340" s="305"/>
    </row>
    <row r="341" spans="1:11" ht="15" customHeight="1" x14ac:dyDescent="0.2">
      <c r="A341" s="191"/>
      <c r="B341" s="326"/>
      <c r="C341" s="327"/>
      <c r="D341" s="327"/>
      <c r="E341" s="327"/>
      <c r="F341" s="327"/>
      <c r="G341" s="86" t="s">
        <v>17</v>
      </c>
      <c r="H341" s="87">
        <f>H308+H312+H316+H320+H325+H329+H337+H333</f>
        <v>160438</v>
      </c>
      <c r="I341" s="333"/>
      <c r="J341" s="333"/>
      <c r="K341" s="334"/>
    </row>
    <row r="342" spans="1:11" ht="16.5" customHeight="1" x14ac:dyDescent="0.2">
      <c r="A342" s="257"/>
      <c r="B342" s="330"/>
      <c r="C342" s="331"/>
      <c r="D342" s="331"/>
      <c r="E342" s="331"/>
      <c r="F342" s="332"/>
      <c r="G342" s="86" t="s">
        <v>19</v>
      </c>
      <c r="H342" s="87">
        <f>H309+H313+H317+H321+H326+H330+H338+H334</f>
        <v>175951</v>
      </c>
      <c r="I342" s="303"/>
      <c r="J342" s="304"/>
      <c r="K342" s="305"/>
    </row>
    <row r="343" spans="1:11" ht="42.75" customHeight="1" x14ac:dyDescent="0.2">
      <c r="A343" s="258"/>
      <c r="B343" s="169"/>
      <c r="C343" s="169"/>
      <c r="D343" s="169"/>
      <c r="E343" s="169"/>
      <c r="F343" s="169"/>
      <c r="G343" s="65" t="s">
        <v>52</v>
      </c>
      <c r="H343" s="3">
        <f>H340</f>
        <v>336389</v>
      </c>
      <c r="I343" s="170"/>
      <c r="J343" s="170"/>
      <c r="K343" s="170"/>
    </row>
    <row r="344" spans="1:11" ht="16.5" customHeight="1" x14ac:dyDescent="0.2">
      <c r="A344" s="258"/>
      <c r="B344" s="169"/>
      <c r="C344" s="169"/>
      <c r="D344" s="169"/>
      <c r="E344" s="169"/>
      <c r="F344" s="169"/>
      <c r="G344" s="67" t="s">
        <v>17</v>
      </c>
      <c r="H344" s="68">
        <f>H341</f>
        <v>160438</v>
      </c>
      <c r="I344" s="170"/>
      <c r="J344" s="170"/>
      <c r="K344" s="170"/>
    </row>
    <row r="345" spans="1:11" ht="16.5" customHeight="1" x14ac:dyDescent="0.2">
      <c r="A345" s="258"/>
      <c r="B345" s="169"/>
      <c r="C345" s="169"/>
      <c r="D345" s="169"/>
      <c r="E345" s="169"/>
      <c r="F345" s="169"/>
      <c r="G345" s="67" t="s">
        <v>19</v>
      </c>
      <c r="H345" s="68">
        <f>H342</f>
        <v>175951</v>
      </c>
      <c r="I345" s="170"/>
      <c r="J345" s="170"/>
      <c r="K345" s="170"/>
    </row>
    <row r="346" spans="1:11" ht="22.5" customHeight="1" x14ac:dyDescent="0.2">
      <c r="A346" s="346" t="s">
        <v>82</v>
      </c>
      <c r="B346" s="347"/>
      <c r="C346" s="347"/>
      <c r="D346" s="347"/>
      <c r="E346" s="347"/>
      <c r="F346" s="347"/>
      <c r="G346" s="347"/>
      <c r="H346" s="347"/>
      <c r="I346" s="347"/>
      <c r="J346" s="347"/>
      <c r="K346" s="348"/>
    </row>
    <row r="347" spans="1:11" ht="38.25" customHeight="1" x14ac:dyDescent="0.2">
      <c r="A347" s="16" t="s">
        <v>61</v>
      </c>
      <c r="B347" s="273" t="s">
        <v>321</v>
      </c>
      <c r="C347" s="344" t="s">
        <v>83</v>
      </c>
      <c r="D347" s="344" t="s">
        <v>14</v>
      </c>
      <c r="E347" s="344" t="s">
        <v>146</v>
      </c>
      <c r="F347" s="344" t="s">
        <v>52</v>
      </c>
      <c r="G347" s="2" t="s">
        <v>15</v>
      </c>
      <c r="H347" s="3">
        <f>SUM(H348:H349)</f>
        <v>3216</v>
      </c>
      <c r="I347" s="4" t="s">
        <v>38</v>
      </c>
      <c r="J347" s="5">
        <v>1608</v>
      </c>
      <c r="K347" s="5">
        <v>1608</v>
      </c>
    </row>
    <row r="348" spans="1:11" ht="60" customHeight="1" x14ac:dyDescent="0.2">
      <c r="A348" s="1"/>
      <c r="B348" s="274"/>
      <c r="C348" s="345"/>
      <c r="D348" s="345"/>
      <c r="E348" s="345"/>
      <c r="F348" s="345"/>
      <c r="G348" s="2" t="s">
        <v>17</v>
      </c>
      <c r="H348" s="3">
        <f>J347</f>
        <v>1608</v>
      </c>
      <c r="I348" s="4" t="s">
        <v>109</v>
      </c>
      <c r="J348" s="7">
        <v>12</v>
      </c>
      <c r="K348" s="8">
        <v>12</v>
      </c>
    </row>
    <row r="349" spans="1:11" ht="65.25" customHeight="1" x14ac:dyDescent="0.2">
      <c r="A349" s="1"/>
      <c r="B349" s="274"/>
      <c r="C349" s="345"/>
      <c r="D349" s="345"/>
      <c r="E349" s="345"/>
      <c r="F349" s="345"/>
      <c r="G349" s="2" t="s">
        <v>19</v>
      </c>
      <c r="H349" s="9">
        <f>K347</f>
        <v>1608</v>
      </c>
      <c r="I349" s="4" t="s">
        <v>104</v>
      </c>
      <c r="J349" s="5">
        <f>J347/J348</f>
        <v>134</v>
      </c>
      <c r="K349" s="5">
        <f>K347/K348</f>
        <v>134</v>
      </c>
    </row>
    <row r="350" spans="1:11" ht="76.5" customHeight="1" x14ac:dyDescent="0.2">
      <c r="A350" s="1"/>
      <c r="B350" s="274"/>
      <c r="C350" s="349"/>
      <c r="D350" s="349"/>
      <c r="E350" s="349"/>
      <c r="F350" s="349"/>
      <c r="G350" s="50"/>
      <c r="H350" s="51"/>
      <c r="I350" s="12" t="s">
        <v>351</v>
      </c>
      <c r="J350" s="13">
        <v>100</v>
      </c>
      <c r="K350" s="13">
        <v>100</v>
      </c>
    </row>
    <row r="351" spans="1:11" ht="58.5" customHeight="1" x14ac:dyDescent="0.2">
      <c r="A351" s="1"/>
      <c r="B351" s="297"/>
      <c r="C351" s="295" t="s">
        <v>222</v>
      </c>
      <c r="D351" s="295" t="s">
        <v>14</v>
      </c>
      <c r="E351" s="273" t="s">
        <v>87</v>
      </c>
      <c r="F351" s="273" t="s">
        <v>52</v>
      </c>
      <c r="G351" s="2" t="s">
        <v>15</v>
      </c>
      <c r="H351" s="3">
        <f>SUM(H352:H353)</f>
        <v>5432.4</v>
      </c>
      <c r="I351" s="4" t="s">
        <v>38</v>
      </c>
      <c r="J351" s="48">
        <v>2588.1</v>
      </c>
      <c r="K351" s="48">
        <v>2844.3</v>
      </c>
    </row>
    <row r="352" spans="1:11" ht="70.5" customHeight="1" x14ac:dyDescent="0.2">
      <c r="A352" s="1"/>
      <c r="B352" s="297"/>
      <c r="C352" s="295"/>
      <c r="D352" s="295"/>
      <c r="E352" s="274"/>
      <c r="F352" s="274"/>
      <c r="G352" s="2" t="s">
        <v>17</v>
      </c>
      <c r="H352" s="3">
        <f>J351</f>
        <v>2588.1</v>
      </c>
      <c r="I352" s="4" t="s">
        <v>223</v>
      </c>
      <c r="J352" s="8">
        <v>162</v>
      </c>
      <c r="K352" s="8">
        <v>162</v>
      </c>
    </row>
    <row r="353" spans="1:11" ht="72.75" customHeight="1" x14ac:dyDescent="0.2">
      <c r="A353" s="1"/>
      <c r="B353" s="297"/>
      <c r="C353" s="295"/>
      <c r="D353" s="295"/>
      <c r="E353" s="274"/>
      <c r="F353" s="274"/>
      <c r="G353" s="2" t="s">
        <v>19</v>
      </c>
      <c r="H353" s="9">
        <f>K351</f>
        <v>2844.3</v>
      </c>
      <c r="I353" s="4" t="s">
        <v>224</v>
      </c>
      <c r="J353" s="48">
        <f>J351/J352</f>
        <v>15.975925925925925</v>
      </c>
      <c r="K353" s="48">
        <f>K351/K352</f>
        <v>17.557407407407407</v>
      </c>
    </row>
    <row r="354" spans="1:11" ht="80.25" customHeight="1" x14ac:dyDescent="0.2">
      <c r="A354" s="1"/>
      <c r="B354" s="302"/>
      <c r="C354" s="295"/>
      <c r="D354" s="295"/>
      <c r="E354" s="275"/>
      <c r="F354" s="275"/>
      <c r="G354" s="94"/>
      <c r="H354" s="95"/>
      <c r="I354" s="55" t="s">
        <v>352</v>
      </c>
      <c r="J354" s="8">
        <v>100</v>
      </c>
      <c r="K354" s="8">
        <v>100</v>
      </c>
    </row>
    <row r="355" spans="1:11" ht="40.5" customHeight="1" x14ac:dyDescent="0.2">
      <c r="A355" s="1"/>
      <c r="B355" s="273"/>
      <c r="C355" s="344" t="s">
        <v>319</v>
      </c>
      <c r="D355" s="344" t="s">
        <v>14</v>
      </c>
      <c r="E355" s="285" t="s">
        <v>209</v>
      </c>
      <c r="F355" s="344" t="s">
        <v>52</v>
      </c>
      <c r="G355" s="2" t="s">
        <v>15</v>
      </c>
      <c r="H355" s="3">
        <f>SUM(H356:H357)</f>
        <v>223</v>
      </c>
      <c r="I355" s="4" t="s">
        <v>38</v>
      </c>
      <c r="J355" s="5">
        <v>128.80000000000001</v>
      </c>
      <c r="K355" s="5">
        <v>94.2</v>
      </c>
    </row>
    <row r="356" spans="1:11" ht="73.5" customHeight="1" x14ac:dyDescent="0.2">
      <c r="A356" s="1"/>
      <c r="B356" s="274"/>
      <c r="C356" s="345"/>
      <c r="D356" s="345"/>
      <c r="E356" s="286"/>
      <c r="F356" s="345"/>
      <c r="G356" s="2" t="s">
        <v>17</v>
      </c>
      <c r="H356" s="3">
        <f>J355</f>
        <v>128.80000000000001</v>
      </c>
      <c r="I356" s="4" t="s">
        <v>84</v>
      </c>
      <c r="J356" s="7">
        <v>9</v>
      </c>
      <c r="K356" s="8">
        <v>6</v>
      </c>
    </row>
    <row r="357" spans="1:11" ht="93.75" customHeight="1" x14ac:dyDescent="0.2">
      <c r="A357" s="1"/>
      <c r="B357" s="274"/>
      <c r="C357" s="345"/>
      <c r="D357" s="345"/>
      <c r="E357" s="286"/>
      <c r="F357" s="345"/>
      <c r="G357" s="2" t="s">
        <v>19</v>
      </c>
      <c r="H357" s="9">
        <f>K355</f>
        <v>94.2</v>
      </c>
      <c r="I357" s="4" t="s">
        <v>386</v>
      </c>
      <c r="J357" s="5">
        <f>J355/J356</f>
        <v>14.311111111111112</v>
      </c>
      <c r="K357" s="5">
        <f>K355/K356</f>
        <v>15.700000000000001</v>
      </c>
    </row>
    <row r="358" spans="1:11" ht="70.5" customHeight="1" x14ac:dyDescent="0.2">
      <c r="A358" s="1"/>
      <c r="B358" s="274"/>
      <c r="C358" s="345"/>
      <c r="D358" s="345"/>
      <c r="E358" s="286"/>
      <c r="F358" s="345"/>
      <c r="G358" s="10"/>
      <c r="H358" s="11"/>
      <c r="I358" s="12" t="s">
        <v>351</v>
      </c>
      <c r="J358" s="13">
        <v>100</v>
      </c>
      <c r="K358" s="13">
        <v>100</v>
      </c>
    </row>
    <row r="359" spans="1:11" ht="47.25" customHeight="1" x14ac:dyDescent="0.2">
      <c r="A359" s="1"/>
      <c r="B359" s="273"/>
      <c r="C359" s="273" t="s">
        <v>320</v>
      </c>
      <c r="D359" s="273" t="s">
        <v>62</v>
      </c>
      <c r="E359" s="273" t="s">
        <v>103</v>
      </c>
      <c r="F359" s="273" t="s">
        <v>52</v>
      </c>
      <c r="G359" s="2" t="s">
        <v>15</v>
      </c>
      <c r="H359" s="3">
        <f>SUM(H360:H361)</f>
        <v>3200</v>
      </c>
      <c r="I359" s="4" t="s">
        <v>38</v>
      </c>
      <c r="J359" s="13">
        <v>1600</v>
      </c>
      <c r="K359" s="13">
        <v>1600</v>
      </c>
    </row>
    <row r="360" spans="1:11" ht="50.25" customHeight="1" x14ac:dyDescent="0.2">
      <c r="A360" s="1"/>
      <c r="B360" s="274"/>
      <c r="C360" s="274"/>
      <c r="D360" s="274"/>
      <c r="E360" s="274"/>
      <c r="F360" s="274"/>
      <c r="G360" s="2" t="s">
        <v>17</v>
      </c>
      <c r="H360" s="3">
        <f>J359</f>
        <v>1600</v>
      </c>
      <c r="I360" s="4" t="s">
        <v>85</v>
      </c>
      <c r="J360" s="8">
        <v>4</v>
      </c>
      <c r="K360" s="8">
        <v>4</v>
      </c>
    </row>
    <row r="361" spans="1:11" ht="57" customHeight="1" x14ac:dyDescent="0.2">
      <c r="A361" s="1"/>
      <c r="B361" s="274"/>
      <c r="C361" s="274"/>
      <c r="D361" s="274"/>
      <c r="E361" s="274"/>
      <c r="F361" s="274"/>
      <c r="G361" s="2" t="s">
        <v>19</v>
      </c>
      <c r="H361" s="9">
        <f>K359</f>
        <v>1600</v>
      </c>
      <c r="I361" s="4" t="s">
        <v>110</v>
      </c>
      <c r="J361" s="48">
        <f>J359/J360</f>
        <v>400</v>
      </c>
      <c r="K361" s="48">
        <f>K359/K360</f>
        <v>400</v>
      </c>
    </row>
    <row r="362" spans="1:11" ht="27.95" customHeight="1" x14ac:dyDescent="0.2">
      <c r="A362" s="259"/>
      <c r="B362" s="275"/>
      <c r="C362" s="275"/>
      <c r="D362" s="275"/>
      <c r="E362" s="275"/>
      <c r="F362" s="275"/>
      <c r="G362" s="50"/>
      <c r="H362" s="51"/>
      <c r="I362" s="250" t="s">
        <v>356</v>
      </c>
      <c r="J362" s="13">
        <v>100</v>
      </c>
      <c r="K362" s="13">
        <v>100</v>
      </c>
    </row>
    <row r="363" spans="1:11" ht="20.100000000000001" customHeight="1" x14ac:dyDescent="0.2">
      <c r="A363" s="256"/>
      <c r="B363" s="340" t="s">
        <v>96</v>
      </c>
      <c r="C363" s="341"/>
      <c r="D363" s="341"/>
      <c r="E363" s="341"/>
      <c r="F363" s="342"/>
      <c r="G363" s="82" t="s">
        <v>15</v>
      </c>
      <c r="H363" s="83">
        <f>SUM(H364:H365)</f>
        <v>12071.4</v>
      </c>
      <c r="I363" s="303"/>
      <c r="J363" s="304"/>
      <c r="K363" s="305"/>
    </row>
    <row r="364" spans="1:11" ht="20.45" customHeight="1" x14ac:dyDescent="0.2">
      <c r="A364" s="191"/>
      <c r="B364" s="326"/>
      <c r="C364" s="329"/>
      <c r="D364" s="329"/>
      <c r="E364" s="329"/>
      <c r="F364" s="328"/>
      <c r="G364" s="86" t="s">
        <v>17</v>
      </c>
      <c r="H364" s="87">
        <f>SUM(H348+H356+H360+H352)</f>
        <v>5924.9</v>
      </c>
      <c r="I364" s="333"/>
      <c r="J364" s="333"/>
      <c r="K364" s="334"/>
    </row>
    <row r="365" spans="1:11" ht="18" customHeight="1" x14ac:dyDescent="0.2">
      <c r="A365" s="257"/>
      <c r="B365" s="330"/>
      <c r="C365" s="331"/>
      <c r="D365" s="331"/>
      <c r="E365" s="331"/>
      <c r="F365" s="332"/>
      <c r="G365" s="86" t="s">
        <v>19</v>
      </c>
      <c r="H365" s="260">
        <f>SUM(H349+H357+H361+H353)</f>
        <v>6146.5</v>
      </c>
      <c r="I365" s="303"/>
      <c r="J365" s="304"/>
      <c r="K365" s="305"/>
    </row>
    <row r="366" spans="1:11" ht="30.95" customHeight="1" x14ac:dyDescent="0.2">
      <c r="G366" s="65" t="s">
        <v>52</v>
      </c>
      <c r="H366" s="182">
        <f>H363</f>
        <v>12071.4</v>
      </c>
    </row>
    <row r="367" spans="1:11" x14ac:dyDescent="0.2">
      <c r="G367" s="67" t="s">
        <v>17</v>
      </c>
      <c r="H367" s="68">
        <f>H364</f>
        <v>5924.9</v>
      </c>
    </row>
    <row r="368" spans="1:11" x14ac:dyDescent="0.2">
      <c r="G368" s="67" t="s">
        <v>19</v>
      </c>
      <c r="H368" s="68">
        <f>H365</f>
        <v>6146.5</v>
      </c>
    </row>
    <row r="370" spans="1:11" ht="27" customHeight="1" x14ac:dyDescent="0.2">
      <c r="A370" s="261"/>
      <c r="B370" s="340" t="s">
        <v>86</v>
      </c>
      <c r="C370" s="341"/>
      <c r="D370" s="341"/>
      <c r="E370" s="341"/>
      <c r="F370" s="342"/>
      <c r="G370" s="82" t="s">
        <v>15</v>
      </c>
      <c r="H370" s="83">
        <f>SUM(H371:H372)</f>
        <v>10402582.504000001</v>
      </c>
      <c r="I370" s="262"/>
      <c r="J370" s="262"/>
      <c r="K370" s="262"/>
    </row>
    <row r="371" spans="1:11" ht="29.45" customHeight="1" x14ac:dyDescent="0.2">
      <c r="A371" s="261"/>
      <c r="B371" s="326"/>
      <c r="C371" s="329"/>
      <c r="D371" s="329"/>
      <c r="E371" s="329"/>
      <c r="F371" s="328"/>
      <c r="G371" s="86" t="s">
        <v>17</v>
      </c>
      <c r="H371" s="87">
        <f>SUM(H62+H192+H218+H301+H341+H364)</f>
        <v>4897770.0730000008</v>
      </c>
      <c r="I371" s="263"/>
      <c r="J371" s="263"/>
      <c r="K371" s="263"/>
    </row>
    <row r="372" spans="1:11" ht="29.45" customHeight="1" x14ac:dyDescent="0.2">
      <c r="A372" s="261"/>
      <c r="B372" s="330"/>
      <c r="C372" s="331"/>
      <c r="D372" s="331"/>
      <c r="E372" s="331"/>
      <c r="F372" s="332"/>
      <c r="G372" s="86" t="s">
        <v>19</v>
      </c>
      <c r="H372" s="87">
        <f>SUM(H63+H193+H219+H302+H342+H365)</f>
        <v>5504812.4309999999</v>
      </c>
      <c r="J372" s="262"/>
      <c r="K372" s="262"/>
    </row>
    <row r="373" spans="1:11" ht="52.5" customHeight="1" x14ac:dyDescent="0.2">
      <c r="G373" s="65" t="s">
        <v>52</v>
      </c>
      <c r="H373" s="3">
        <f>H370</f>
        <v>10402582.504000001</v>
      </c>
    </row>
    <row r="374" spans="1:11" x14ac:dyDescent="0.2">
      <c r="B374" s="19" t="s">
        <v>153</v>
      </c>
      <c r="G374" s="67" t="s">
        <v>17</v>
      </c>
      <c r="H374" s="68">
        <f>H371</f>
        <v>4897770.0730000008</v>
      </c>
    </row>
    <row r="375" spans="1:11" x14ac:dyDescent="0.2">
      <c r="G375" s="67" t="s">
        <v>19</v>
      </c>
      <c r="H375" s="68">
        <f>H372</f>
        <v>5504812.4309999999</v>
      </c>
    </row>
    <row r="376" spans="1:11" ht="29.45" customHeight="1" x14ac:dyDescent="0.2"/>
    <row r="377" spans="1:11" x14ac:dyDescent="0.2">
      <c r="B377" s="265" t="s">
        <v>387</v>
      </c>
      <c r="C377" s="265"/>
      <c r="D377" s="265"/>
      <c r="F377" s="266" t="s">
        <v>388</v>
      </c>
      <c r="G377" s="266"/>
      <c r="H377" s="266"/>
    </row>
  </sheetData>
  <mergeCells count="373">
    <mergeCell ref="F2:K2"/>
    <mergeCell ref="C57:C60"/>
    <mergeCell ref="D57:D60"/>
    <mergeCell ref="E57:E60"/>
    <mergeCell ref="F57:F60"/>
    <mergeCell ref="I63:K63"/>
    <mergeCell ref="C97:C100"/>
    <mergeCell ref="G11:H11"/>
    <mergeCell ref="A12:K12"/>
    <mergeCell ref="B17:B18"/>
    <mergeCell ref="C17:C20"/>
    <mergeCell ref="D17:D20"/>
    <mergeCell ref="E17:E20"/>
    <mergeCell ref="F17:F20"/>
    <mergeCell ref="B21:B23"/>
    <mergeCell ref="C21:C24"/>
    <mergeCell ref="D45:D48"/>
    <mergeCell ref="C45:C48"/>
    <mergeCell ref="B77:B81"/>
    <mergeCell ref="E90:E96"/>
    <mergeCell ref="F90:F96"/>
    <mergeCell ref="A85:K85"/>
    <mergeCell ref="B86:B88"/>
    <mergeCell ref="G93:H95"/>
    <mergeCell ref="G188:I190"/>
    <mergeCell ref="D141:D144"/>
    <mergeCell ref="B172:C174"/>
    <mergeCell ref="B188:C190"/>
    <mergeCell ref="B167:B171"/>
    <mergeCell ref="F167:F171"/>
    <mergeCell ref="C176:C182"/>
    <mergeCell ref="A261:A262"/>
    <mergeCell ref="A260:K260"/>
    <mergeCell ref="A141:A142"/>
    <mergeCell ref="A152:A153"/>
    <mergeCell ref="A159:A160"/>
    <mergeCell ref="B159:B160"/>
    <mergeCell ref="B225:B232"/>
    <mergeCell ref="D229:D232"/>
    <mergeCell ref="F229:F232"/>
    <mergeCell ref="E229:E231"/>
    <mergeCell ref="C229:C230"/>
    <mergeCell ref="F261:F264"/>
    <mergeCell ref="C237:C242"/>
    <mergeCell ref="D237:D242"/>
    <mergeCell ref="D167:D171"/>
    <mergeCell ref="E167:E171"/>
    <mergeCell ref="I191:K191"/>
    <mergeCell ref="D176:D182"/>
    <mergeCell ref="E176:E182"/>
    <mergeCell ref="F176:F182"/>
    <mergeCell ref="G155:H158"/>
    <mergeCell ref="C152:C158"/>
    <mergeCell ref="D152:D158"/>
    <mergeCell ref="E152:E158"/>
    <mergeCell ref="F152:F158"/>
    <mergeCell ref="C163:C166"/>
    <mergeCell ref="D163:D166"/>
    <mergeCell ref="E163:E166"/>
    <mergeCell ref="F163:F166"/>
    <mergeCell ref="F159:F162"/>
    <mergeCell ref="A175:K175"/>
    <mergeCell ref="A163:A164"/>
    <mergeCell ref="G179:H182"/>
    <mergeCell ref="F120:F123"/>
    <mergeCell ref="C124:C127"/>
    <mergeCell ref="D124:D127"/>
    <mergeCell ref="E124:E127"/>
    <mergeCell ref="F124:F127"/>
    <mergeCell ref="C133:C136"/>
    <mergeCell ref="E109:E115"/>
    <mergeCell ref="B152:B158"/>
    <mergeCell ref="E141:E142"/>
    <mergeCell ref="F145:F151"/>
    <mergeCell ref="C145:C151"/>
    <mergeCell ref="A140:K140"/>
    <mergeCell ref="F133:F136"/>
    <mergeCell ref="D133:D136"/>
    <mergeCell ref="E133:E136"/>
    <mergeCell ref="B141:B144"/>
    <mergeCell ref="C109:C111"/>
    <mergeCell ref="A120:A121"/>
    <mergeCell ref="F109:F115"/>
    <mergeCell ref="C141:C144"/>
    <mergeCell ref="C128:C132"/>
    <mergeCell ref="B132:B136"/>
    <mergeCell ref="C53:C56"/>
    <mergeCell ref="D53:D56"/>
    <mergeCell ref="E53:E56"/>
    <mergeCell ref="C69:C72"/>
    <mergeCell ref="D69:D72"/>
    <mergeCell ref="E69:E72"/>
    <mergeCell ref="A67:K67"/>
    <mergeCell ref="B53:B56"/>
    <mergeCell ref="A69:A70"/>
    <mergeCell ref="B68:K68"/>
    <mergeCell ref="F53:F56"/>
    <mergeCell ref="I61:K61"/>
    <mergeCell ref="I62:K62"/>
    <mergeCell ref="F69:F72"/>
    <mergeCell ref="B61:F63"/>
    <mergeCell ref="B69:B70"/>
    <mergeCell ref="B49:B50"/>
    <mergeCell ref="C49:C52"/>
    <mergeCell ref="D49:D52"/>
    <mergeCell ref="E49:E52"/>
    <mergeCell ref="F49:F52"/>
    <mergeCell ref="A5:K5"/>
    <mergeCell ref="A6:K6"/>
    <mergeCell ref="A9:A10"/>
    <mergeCell ref="B9:B10"/>
    <mergeCell ref="C9:C10"/>
    <mergeCell ref="D9:D10"/>
    <mergeCell ref="E9:E10"/>
    <mergeCell ref="F9:F10"/>
    <mergeCell ref="G9:H10"/>
    <mergeCell ref="I9:K9"/>
    <mergeCell ref="F41:F44"/>
    <mergeCell ref="E41:E44"/>
    <mergeCell ref="D41:D44"/>
    <mergeCell ref="C41:C44"/>
    <mergeCell ref="D21:D24"/>
    <mergeCell ref="E21:E24"/>
    <mergeCell ref="F21:F24"/>
    <mergeCell ref="E45:E48"/>
    <mergeCell ref="F45:F48"/>
    <mergeCell ref="A13:A15"/>
    <mergeCell ref="B13:B15"/>
    <mergeCell ref="C13:C16"/>
    <mergeCell ref="D13:D16"/>
    <mergeCell ref="E13:E16"/>
    <mergeCell ref="F13:F16"/>
    <mergeCell ref="B25:B28"/>
    <mergeCell ref="C25:C27"/>
    <mergeCell ref="D25:D27"/>
    <mergeCell ref="F25:F27"/>
    <mergeCell ref="E25:E28"/>
    <mergeCell ref="C29:C32"/>
    <mergeCell ref="D29:D32"/>
    <mergeCell ref="E29:E32"/>
    <mergeCell ref="F29:F32"/>
    <mergeCell ref="C33:C36"/>
    <mergeCell ref="D33:D36"/>
    <mergeCell ref="E33:E36"/>
    <mergeCell ref="F33:F36"/>
    <mergeCell ref="C37:C40"/>
    <mergeCell ref="D37:D40"/>
    <mergeCell ref="E37:E40"/>
    <mergeCell ref="F37:F40"/>
    <mergeCell ref="B82:C84"/>
    <mergeCell ref="B73:B76"/>
    <mergeCell ref="C73:C76"/>
    <mergeCell ref="D73:D76"/>
    <mergeCell ref="E73:E76"/>
    <mergeCell ref="F73:F76"/>
    <mergeCell ref="D101:D104"/>
    <mergeCell ref="E101:E104"/>
    <mergeCell ref="F101:F104"/>
    <mergeCell ref="C86:C89"/>
    <mergeCell ref="D86:D89"/>
    <mergeCell ref="C101:C104"/>
    <mergeCell ref="D97:D100"/>
    <mergeCell ref="E97:E100"/>
    <mergeCell ref="F97:F100"/>
    <mergeCell ref="C77:C81"/>
    <mergeCell ref="D77:D81"/>
    <mergeCell ref="E77:E81"/>
    <mergeCell ref="F77:F81"/>
    <mergeCell ref="C90:C96"/>
    <mergeCell ref="D90:D96"/>
    <mergeCell ref="B90:B92"/>
    <mergeCell ref="F285:F291"/>
    <mergeCell ref="C292:C296"/>
    <mergeCell ref="D292:D296"/>
    <mergeCell ref="E292:E296"/>
    <mergeCell ref="C277:C280"/>
    <mergeCell ref="D277:D280"/>
    <mergeCell ref="E277:E280"/>
    <mergeCell ref="E86:E89"/>
    <mergeCell ref="F86:F89"/>
    <mergeCell ref="A119:K119"/>
    <mergeCell ref="B116:C118"/>
    <mergeCell ref="B137:C139"/>
    <mergeCell ref="D128:D132"/>
    <mergeCell ref="E128:E132"/>
    <mergeCell ref="F128:F132"/>
    <mergeCell ref="B105:B108"/>
    <mergeCell ref="C105:C108"/>
    <mergeCell ref="D105:D108"/>
    <mergeCell ref="E105:E108"/>
    <mergeCell ref="F105:F108"/>
    <mergeCell ref="B109:B110"/>
    <mergeCell ref="C120:C123"/>
    <mergeCell ref="D120:D123"/>
    <mergeCell ref="E120:E123"/>
    <mergeCell ref="A306:K306"/>
    <mergeCell ref="B307:B314"/>
    <mergeCell ref="C307:C310"/>
    <mergeCell ref="D307:D310"/>
    <mergeCell ref="E307:E310"/>
    <mergeCell ref="F307:F310"/>
    <mergeCell ref="C311:C314"/>
    <mergeCell ref="G288:H290"/>
    <mergeCell ref="D109:D115"/>
    <mergeCell ref="B300:F302"/>
    <mergeCell ref="I300:K300"/>
    <mergeCell ref="I301:K301"/>
    <mergeCell ref="I302:K302"/>
    <mergeCell ref="C273:C276"/>
    <mergeCell ref="D273:D276"/>
    <mergeCell ref="E273:E276"/>
    <mergeCell ref="F273:F276"/>
    <mergeCell ref="C281:C284"/>
    <mergeCell ref="D281:D284"/>
    <mergeCell ref="E281:E284"/>
    <mergeCell ref="F281:F284"/>
    <mergeCell ref="C285:C291"/>
    <mergeCell ref="D285:D291"/>
    <mergeCell ref="E285:E291"/>
    <mergeCell ref="B319:B322"/>
    <mergeCell ref="C319:C322"/>
    <mergeCell ref="D319:D322"/>
    <mergeCell ref="E319:E322"/>
    <mergeCell ref="F319:F322"/>
    <mergeCell ref="D311:D314"/>
    <mergeCell ref="E311:E314"/>
    <mergeCell ref="F311:F314"/>
    <mergeCell ref="B315:B318"/>
    <mergeCell ref="C315:C318"/>
    <mergeCell ref="D315:D318"/>
    <mergeCell ref="E315:E318"/>
    <mergeCell ref="F315:F318"/>
    <mergeCell ref="C332:C335"/>
    <mergeCell ref="D332:D335"/>
    <mergeCell ref="E332:E335"/>
    <mergeCell ref="F332:F335"/>
    <mergeCell ref="B328:B331"/>
    <mergeCell ref="B324:B327"/>
    <mergeCell ref="C324:C327"/>
    <mergeCell ref="D324:D327"/>
    <mergeCell ref="E324:E327"/>
    <mergeCell ref="F324:F327"/>
    <mergeCell ref="C328:C331"/>
    <mergeCell ref="D328:D331"/>
    <mergeCell ref="E328:E331"/>
    <mergeCell ref="F328:F331"/>
    <mergeCell ref="F347:F350"/>
    <mergeCell ref="B340:F342"/>
    <mergeCell ref="C351:C354"/>
    <mergeCell ref="D351:D354"/>
    <mergeCell ref="E351:E354"/>
    <mergeCell ref="F351:F354"/>
    <mergeCell ref="B347:B354"/>
    <mergeCell ref="C336:C339"/>
    <mergeCell ref="D336:D339"/>
    <mergeCell ref="E336:E339"/>
    <mergeCell ref="F336:F339"/>
    <mergeCell ref="C243:C248"/>
    <mergeCell ref="D243:D248"/>
    <mergeCell ref="B370:F372"/>
    <mergeCell ref="I363:K363"/>
    <mergeCell ref="I364:K364"/>
    <mergeCell ref="I365:K365"/>
    <mergeCell ref="B359:B362"/>
    <mergeCell ref="C359:C362"/>
    <mergeCell ref="D359:D362"/>
    <mergeCell ref="E359:E362"/>
    <mergeCell ref="F359:F362"/>
    <mergeCell ref="B363:F365"/>
    <mergeCell ref="B355:B358"/>
    <mergeCell ref="C355:C358"/>
    <mergeCell ref="D355:D358"/>
    <mergeCell ref="E355:E358"/>
    <mergeCell ref="F355:F358"/>
    <mergeCell ref="I340:K340"/>
    <mergeCell ref="I341:K341"/>
    <mergeCell ref="I342:K342"/>
    <mergeCell ref="A346:K346"/>
    <mergeCell ref="C347:C350"/>
    <mergeCell ref="D347:D350"/>
    <mergeCell ref="E347:E350"/>
    <mergeCell ref="E202:E205"/>
    <mergeCell ref="C206:C209"/>
    <mergeCell ref="B191:F193"/>
    <mergeCell ref="I218:K218"/>
    <mergeCell ref="I219:K219"/>
    <mergeCell ref="A223:K223"/>
    <mergeCell ref="A224:A227"/>
    <mergeCell ref="B224:K224"/>
    <mergeCell ref="C225:C228"/>
    <mergeCell ref="D225:D228"/>
    <mergeCell ref="E225:E228"/>
    <mergeCell ref="F225:F228"/>
    <mergeCell ref="B217:F219"/>
    <mergeCell ref="F206:F209"/>
    <mergeCell ref="D202:D205"/>
    <mergeCell ref="F202:F205"/>
    <mergeCell ref="I192:K192"/>
    <mergeCell ref="I193:K193"/>
    <mergeCell ref="B210:B211"/>
    <mergeCell ref="A198:A205"/>
    <mergeCell ref="E269:E272"/>
    <mergeCell ref="C249:C252"/>
    <mergeCell ref="D249:D252"/>
    <mergeCell ref="C159:C162"/>
    <mergeCell ref="D159:D162"/>
    <mergeCell ref="E159:E162"/>
    <mergeCell ref="D145:D151"/>
    <mergeCell ref="E145:E151"/>
    <mergeCell ref="B233:B236"/>
    <mergeCell ref="C233:C234"/>
    <mergeCell ref="C210:C216"/>
    <mergeCell ref="D210:D216"/>
    <mergeCell ref="E210:E216"/>
    <mergeCell ref="C202:C205"/>
    <mergeCell ref="D206:D209"/>
    <mergeCell ref="E206:E209"/>
    <mergeCell ref="C167:C171"/>
    <mergeCell ref="C183:C187"/>
    <mergeCell ref="E183:E187"/>
    <mergeCell ref="B206:B209"/>
    <mergeCell ref="B198:B200"/>
    <mergeCell ref="C198:C201"/>
    <mergeCell ref="D198:D201"/>
    <mergeCell ref="E198:E201"/>
    <mergeCell ref="E249:E252"/>
    <mergeCell ref="I217:K217"/>
    <mergeCell ref="B297:C299"/>
    <mergeCell ref="C253:C256"/>
    <mergeCell ref="D253:D256"/>
    <mergeCell ref="E253:E256"/>
    <mergeCell ref="F253:F256"/>
    <mergeCell ref="B249:B256"/>
    <mergeCell ref="C261:C264"/>
    <mergeCell ref="D261:D264"/>
    <mergeCell ref="E261:E264"/>
    <mergeCell ref="C265:C268"/>
    <mergeCell ref="D265:D268"/>
    <mergeCell ref="E265:E268"/>
    <mergeCell ref="F249:F252"/>
    <mergeCell ref="F292:F296"/>
    <mergeCell ref="B292:B296"/>
    <mergeCell ref="B277:B291"/>
    <mergeCell ref="F277:F280"/>
    <mergeCell ref="F269:F272"/>
    <mergeCell ref="F265:F268"/>
    <mergeCell ref="C269:C272"/>
    <mergeCell ref="D269:D272"/>
    <mergeCell ref="B261:B262"/>
    <mergeCell ref="B377:D377"/>
    <mergeCell ref="F377:H377"/>
    <mergeCell ref="G186:H187"/>
    <mergeCell ref="A86:A89"/>
    <mergeCell ref="B120:B121"/>
    <mergeCell ref="D183:D187"/>
    <mergeCell ref="A243:A244"/>
    <mergeCell ref="B243:B248"/>
    <mergeCell ref="B257:C259"/>
    <mergeCell ref="E243:E248"/>
    <mergeCell ref="F243:F248"/>
    <mergeCell ref="D233:D236"/>
    <mergeCell ref="E233:E236"/>
    <mergeCell ref="F233:F236"/>
    <mergeCell ref="F210:F216"/>
    <mergeCell ref="F198:F201"/>
    <mergeCell ref="A206:A216"/>
    <mergeCell ref="B176:B187"/>
    <mergeCell ref="A176:A187"/>
    <mergeCell ref="E237:E242"/>
    <mergeCell ref="F237:F242"/>
    <mergeCell ref="F183:F187"/>
    <mergeCell ref="A197:K197"/>
    <mergeCell ref="F141:F144"/>
  </mergeCells>
  <pageMargins left="0.39370078740157483" right="0.39370078740157483" top="0.39370078740157483" bottom="0.39370078740157483" header="0.31496062992125984" footer="0.31496062992125984"/>
  <pageSetup paperSize="9" scale="89" fitToHeight="60" orientation="landscape" r:id="rId1"/>
  <rowBreaks count="1" manualBreakCount="1">
    <brk id="361"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фінансування</vt:lpstr>
      <vt:lpstr>фінансування!Заголовки_для_друку</vt:lpstr>
      <vt:lpstr>фінансування!Область_друку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Трав'янова Олена Анатоліївна</dc:creator>
  <cp:lastModifiedBy>Титаренко Лариса Вікторівна</cp:lastModifiedBy>
  <cp:lastPrinted>2023-08-11T13:37:22Z</cp:lastPrinted>
  <dcterms:created xsi:type="dcterms:W3CDTF">2023-05-22T12:35:51Z</dcterms:created>
  <dcterms:modified xsi:type="dcterms:W3CDTF">2023-08-15T11:50:21Z</dcterms:modified>
</cp:coreProperties>
</file>