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320" windowHeight="9630" tabRatio="782" firstSheet="6" activeTab="14"/>
  </bookViews>
  <sheets>
    <sheet name="титул ІІ кв" sheetId="6" state="hidden" r:id="rId1"/>
    <sheet name="звіт 6 міс" sheetId="7" state="hidden" r:id="rId2"/>
    <sheet name="показники 6 міс" sheetId="11" state="hidden" r:id="rId3"/>
    <sheet name="титул 9 міс" sheetId="12" state="hidden" r:id="rId4"/>
    <sheet name="звіт 9 міс" sheetId="13" state="hidden" r:id="rId5"/>
    <sheet name="показники 9 міс" sheetId="14" state="hidden" r:id="rId6"/>
    <sheet name="2019" sheetId="15" r:id="rId7"/>
    <sheet name="звіт І кв" sheetId="16" state="hidden" r:id="rId8"/>
    <sheet name="показники І кв" sheetId="17" state="hidden" r:id="rId9"/>
    <sheet name="Лист4" sheetId="18" state="hidden" r:id="rId10"/>
    <sheet name="звіт ІІ кв" sheetId="19" state="hidden" r:id="rId11"/>
    <sheet name="показники ІІ кв" sheetId="20" state="hidden" r:id="rId12"/>
    <sheet name="звіт ІІІ кв" sheetId="21" state="hidden" r:id="rId13"/>
    <sheet name="показники ІІІ кв" sheetId="22" state="hidden" r:id="rId14"/>
    <sheet name="фін-ня ІV кварта 2019 року" sheetId="34" r:id="rId15"/>
  </sheets>
  <definedNames>
    <definedName name="_xlnm._FilterDatabase" localSheetId="2" hidden="1">'показники 6 міс'!$A$5:$C$250</definedName>
    <definedName name="_xlnm.Print_Area" localSheetId="6">'2019'!$A$1:$W$18</definedName>
    <definedName name="_xlnm.Print_Area" localSheetId="7">'звіт І кв'!$A$1:$L$96</definedName>
    <definedName name="_xlnm.Print_Area" localSheetId="10">'звіт ІІ кв'!$A$1:$L$100</definedName>
    <definedName name="_xlnm.Print_Area" localSheetId="12">'звіт ІІІ кв'!$A$1:$L$100</definedName>
    <definedName name="_xlnm.Print_Area" localSheetId="2">'показники 6 міс'!$A$1:$G$257</definedName>
    <definedName name="_xlnm.Print_Area" localSheetId="8">'показники І кв'!$A$1:$G$233</definedName>
    <definedName name="_xlnm.Print_Area" localSheetId="11">'показники ІІ кв'!$A$1:$G$233</definedName>
    <definedName name="_xlnm.Print_Area" localSheetId="13">'показники ІІІ кв'!$A$1:$G$233</definedName>
    <definedName name="_xlnm.Print_Area" localSheetId="0">'титул ІІ кв'!$A$1:$V$13</definedName>
    <definedName name="станвиконаннязаходів" localSheetId="2">'показники 6 міс'!$C:$C</definedName>
    <definedName name="станвиконаннязаходів">#REF!</definedName>
  </definedNames>
  <calcPr calcId="125725" refMode="R1C1"/>
</workbook>
</file>

<file path=xl/calcChain.xml><?xml version="1.0" encoding="utf-8"?>
<calcChain xmlns="http://schemas.openxmlformats.org/spreadsheetml/2006/main">
  <c r="L33" i="34"/>
  <c r="J24" l="1"/>
  <c r="L11" l="1"/>
  <c r="L38"/>
  <c r="L30" s="1"/>
  <c r="L63"/>
  <c r="L55"/>
  <c r="L43"/>
  <c r="L42" s="1"/>
  <c r="L49"/>
  <c r="L20"/>
  <c r="J20"/>
  <c r="K20"/>
  <c r="J67"/>
  <c r="J63"/>
  <c r="J62" l="1"/>
  <c r="L41"/>
  <c r="L73"/>
  <c r="L72" s="1"/>
  <c r="K73" l="1"/>
  <c r="K55"/>
  <c r="K49"/>
  <c r="E79" l="1"/>
  <c r="I79"/>
  <c r="I80"/>
  <c r="E80"/>
  <c r="I78"/>
  <c r="E78"/>
  <c r="I77"/>
  <c r="E77"/>
  <c r="I76"/>
  <c r="E76"/>
  <c r="I75"/>
  <c r="E75"/>
  <c r="I74"/>
  <c r="E74"/>
  <c r="J73"/>
  <c r="I73" s="1"/>
  <c r="F73"/>
  <c r="F72" s="1"/>
  <c r="E72" s="1"/>
  <c r="K72"/>
  <c r="I71"/>
  <c r="E71"/>
  <c r="I70"/>
  <c r="E70"/>
  <c r="I69"/>
  <c r="E69"/>
  <c r="I68"/>
  <c r="E68"/>
  <c r="L67"/>
  <c r="K67"/>
  <c r="F67"/>
  <c r="I66"/>
  <c r="E66"/>
  <c r="I65"/>
  <c r="E65"/>
  <c r="I64"/>
  <c r="E64"/>
  <c r="K63"/>
  <c r="F63"/>
  <c r="I61"/>
  <c r="E61"/>
  <c r="I60"/>
  <c r="E60"/>
  <c r="I59"/>
  <c r="E59"/>
  <c r="I58"/>
  <c r="E58"/>
  <c r="I57"/>
  <c r="E57"/>
  <c r="I56"/>
  <c r="E56"/>
  <c r="J55"/>
  <c r="I55" s="1"/>
  <c r="F55"/>
  <c r="I54"/>
  <c r="E54"/>
  <c r="I53"/>
  <c r="E53"/>
  <c r="I52"/>
  <c r="E52"/>
  <c r="I51"/>
  <c r="E51"/>
  <c r="I50"/>
  <c r="E50"/>
  <c r="J49"/>
  <c r="F49"/>
  <c r="I48"/>
  <c r="E48"/>
  <c r="I47"/>
  <c r="E47"/>
  <c r="I46"/>
  <c r="E46"/>
  <c r="I45"/>
  <c r="E45"/>
  <c r="I44"/>
  <c r="E44"/>
  <c r="I43"/>
  <c r="E43"/>
  <c r="K42"/>
  <c r="K41" s="1"/>
  <c r="J42"/>
  <c r="J41" s="1"/>
  <c r="F42"/>
  <c r="E42" s="1"/>
  <c r="I40"/>
  <c r="E40"/>
  <c r="I39"/>
  <c r="E39"/>
  <c r="K38"/>
  <c r="J38"/>
  <c r="F38"/>
  <c r="I37"/>
  <c r="E37"/>
  <c r="I36"/>
  <c r="E36"/>
  <c r="I35"/>
  <c r="E35"/>
  <c r="I34"/>
  <c r="E34"/>
  <c r="K33"/>
  <c r="J33"/>
  <c r="J30" s="1"/>
  <c r="I30" s="1"/>
  <c r="F33"/>
  <c r="F30" s="1"/>
  <c r="E30" s="1"/>
  <c r="I32"/>
  <c r="E32"/>
  <c r="I31"/>
  <c r="E31"/>
  <c r="I29"/>
  <c r="E29"/>
  <c r="I28"/>
  <c r="E28"/>
  <c r="I27"/>
  <c r="E27"/>
  <c r="I26"/>
  <c r="E26"/>
  <c r="L25"/>
  <c r="K25"/>
  <c r="J25"/>
  <c r="F25"/>
  <c r="I24"/>
  <c r="E24"/>
  <c r="I23"/>
  <c r="E23"/>
  <c r="I22"/>
  <c r="E22"/>
  <c r="I21"/>
  <c r="E21"/>
  <c r="I20"/>
  <c r="F20"/>
  <c r="I19"/>
  <c r="E19"/>
  <c r="I18"/>
  <c r="E18"/>
  <c r="I17"/>
  <c r="E17"/>
  <c r="I16"/>
  <c r="E16"/>
  <c r="I15"/>
  <c r="E15"/>
  <c r="I14"/>
  <c r="E14"/>
  <c r="I13"/>
  <c r="E13"/>
  <c r="I12"/>
  <c r="E12"/>
  <c r="K11"/>
  <c r="J11"/>
  <c r="F11"/>
  <c r="E11" s="1"/>
  <c r="L62" l="1"/>
  <c r="L81" s="1"/>
  <c r="I63"/>
  <c r="K62"/>
  <c r="I11"/>
  <c r="J10"/>
  <c r="K10"/>
  <c r="I25"/>
  <c r="E63"/>
  <c r="E49"/>
  <c r="J72"/>
  <c r="I72" s="1"/>
  <c r="E38"/>
  <c r="I67"/>
  <c r="E73"/>
  <c r="I33"/>
  <c r="H81"/>
  <c r="G81"/>
  <c r="C91" s="1"/>
  <c r="I38"/>
  <c r="I42"/>
  <c r="E25"/>
  <c r="E55"/>
  <c r="F62"/>
  <c r="E67"/>
  <c r="E20"/>
  <c r="E33"/>
  <c r="I41"/>
  <c r="F10"/>
  <c r="F41"/>
  <c r="I49"/>
  <c r="J81" l="1"/>
  <c r="I10"/>
  <c r="K81"/>
  <c r="F91" s="1"/>
  <c r="I91" s="1"/>
  <c r="G91"/>
  <c r="E62"/>
  <c r="E41"/>
  <c r="I62"/>
  <c r="I81" s="1"/>
  <c r="F81"/>
  <c r="D91" s="1"/>
  <c r="B91" s="1"/>
  <c r="E10"/>
  <c r="E91" l="1"/>
  <c r="H91" s="1"/>
  <c r="J91"/>
  <c r="E81"/>
  <c r="D35" i="22" l="1"/>
  <c r="D70" i="17" l="1"/>
  <c r="D113" i="20"/>
  <c r="J75" i="21" l="1"/>
  <c r="L75"/>
  <c r="J13"/>
  <c r="L13"/>
  <c r="L22"/>
  <c r="J22"/>
  <c r="J27"/>
  <c r="L27"/>
  <c r="J35"/>
  <c r="J32" s="1"/>
  <c r="L35"/>
  <c r="J40"/>
  <c r="J44"/>
  <c r="L44"/>
  <c r="L48"/>
  <c r="J51"/>
  <c r="L51"/>
  <c r="J57"/>
  <c r="L57"/>
  <c r="J65"/>
  <c r="J69"/>
  <c r="L65"/>
  <c r="L64" s="1"/>
  <c r="L69"/>
  <c r="D132" i="22"/>
  <c r="D199"/>
  <c r="E199" s="1"/>
  <c r="D172"/>
  <c r="D175"/>
  <c r="D175" i="20"/>
  <c r="D159" i="22"/>
  <c r="E159" s="1"/>
  <c r="F119"/>
  <c r="D119"/>
  <c r="E119" s="1"/>
  <c r="D124"/>
  <c r="F124" s="1"/>
  <c r="D135"/>
  <c r="D86"/>
  <c r="D178"/>
  <c r="E124"/>
  <c r="D121"/>
  <c r="I76" i="21"/>
  <c r="I77"/>
  <c r="I21"/>
  <c r="I76" i="19"/>
  <c r="I45" i="21"/>
  <c r="K75"/>
  <c r="K74"/>
  <c r="K69"/>
  <c r="I69" s="1"/>
  <c r="K65"/>
  <c r="K64"/>
  <c r="K57"/>
  <c r="K51"/>
  <c r="K44"/>
  <c r="K43"/>
  <c r="K35"/>
  <c r="K32" s="1"/>
  <c r="K27"/>
  <c r="K22"/>
  <c r="K13"/>
  <c r="G75"/>
  <c r="G74"/>
  <c r="G69"/>
  <c r="G65"/>
  <c r="G64" s="1"/>
  <c r="G57"/>
  <c r="G51"/>
  <c r="G44"/>
  <c r="G43" s="1"/>
  <c r="G40"/>
  <c r="E40" s="1"/>
  <c r="G35"/>
  <c r="G32" s="1"/>
  <c r="G27"/>
  <c r="E27"/>
  <c r="G22"/>
  <c r="G12" s="1"/>
  <c r="I30"/>
  <c r="I30" i="19"/>
  <c r="E17" i="22"/>
  <c r="F17"/>
  <c r="H17"/>
  <c r="D19"/>
  <c r="E19" s="1"/>
  <c r="C21"/>
  <c r="E22"/>
  <c r="F22"/>
  <c r="C23"/>
  <c r="D24"/>
  <c r="E24" s="1"/>
  <c r="F24"/>
  <c r="E27"/>
  <c r="F27"/>
  <c r="D29"/>
  <c r="E29"/>
  <c r="F29"/>
  <c r="D32"/>
  <c r="E32"/>
  <c r="E34"/>
  <c r="F34"/>
  <c r="E35"/>
  <c r="E38"/>
  <c r="F38"/>
  <c r="D40"/>
  <c r="E40" s="1"/>
  <c r="E43"/>
  <c r="F43"/>
  <c r="D44"/>
  <c r="D45"/>
  <c r="E45"/>
  <c r="F45"/>
  <c r="E48"/>
  <c r="F48"/>
  <c r="D50"/>
  <c r="E50" s="1"/>
  <c r="E53"/>
  <c r="F53"/>
  <c r="E55"/>
  <c r="F55"/>
  <c r="E58"/>
  <c r="F58"/>
  <c r="E59"/>
  <c r="F59"/>
  <c r="E60"/>
  <c r="E61"/>
  <c r="F61"/>
  <c r="D63"/>
  <c r="E67"/>
  <c r="F67"/>
  <c r="E69"/>
  <c r="F69"/>
  <c r="E72"/>
  <c r="F72"/>
  <c r="E76"/>
  <c r="F76"/>
  <c r="E82"/>
  <c r="F82"/>
  <c r="E83"/>
  <c r="F83"/>
  <c r="D85"/>
  <c r="F85" s="1"/>
  <c r="F86"/>
  <c r="E86"/>
  <c r="E88"/>
  <c r="F88"/>
  <c r="E89"/>
  <c r="E92"/>
  <c r="F92"/>
  <c r="D94"/>
  <c r="E94" s="1"/>
  <c r="E96"/>
  <c r="F96"/>
  <c r="E102"/>
  <c r="F102"/>
  <c r="C103"/>
  <c r="E104"/>
  <c r="F104"/>
  <c r="D106"/>
  <c r="E107"/>
  <c r="F107"/>
  <c r="E109"/>
  <c r="F109"/>
  <c r="C113"/>
  <c r="D113"/>
  <c r="F113" s="1"/>
  <c r="E114"/>
  <c r="F114"/>
  <c r="C115"/>
  <c r="D115"/>
  <c r="E116"/>
  <c r="F116"/>
  <c r="E117"/>
  <c r="F117"/>
  <c r="E120"/>
  <c r="F120"/>
  <c r="E121"/>
  <c r="F121"/>
  <c r="E123"/>
  <c r="E126"/>
  <c r="F126"/>
  <c r="D127"/>
  <c r="E127" s="1"/>
  <c r="F127"/>
  <c r="D129"/>
  <c r="E130"/>
  <c r="F130"/>
  <c r="E132"/>
  <c r="F132"/>
  <c r="E134"/>
  <c r="F134"/>
  <c r="E135"/>
  <c r="F135"/>
  <c r="E138"/>
  <c r="F138"/>
  <c r="D140"/>
  <c r="E140" s="1"/>
  <c r="E143"/>
  <c r="F143"/>
  <c r="E145"/>
  <c r="F145"/>
  <c r="E149"/>
  <c r="F149"/>
  <c r="E151"/>
  <c r="F151"/>
  <c r="E153"/>
  <c r="F153"/>
  <c r="E155"/>
  <c r="F155"/>
  <c r="E157"/>
  <c r="F157"/>
  <c r="E162"/>
  <c r="F162"/>
  <c r="D164"/>
  <c r="E164" s="1"/>
  <c r="F164"/>
  <c r="E169"/>
  <c r="F169"/>
  <c r="E170"/>
  <c r="F170"/>
  <c r="E172"/>
  <c r="F172"/>
  <c r="E174"/>
  <c r="F174"/>
  <c r="E175"/>
  <c r="F175"/>
  <c r="E177"/>
  <c r="F177"/>
  <c r="E178"/>
  <c r="D186"/>
  <c r="E187"/>
  <c r="F187"/>
  <c r="E189"/>
  <c r="F189"/>
  <c r="D191"/>
  <c r="E192"/>
  <c r="F192"/>
  <c r="D193"/>
  <c r="D194"/>
  <c r="E194" s="1"/>
  <c r="E197"/>
  <c r="F197"/>
  <c r="E204"/>
  <c r="F204"/>
  <c r="E205"/>
  <c r="F205"/>
  <c r="E207"/>
  <c r="F207"/>
  <c r="E209"/>
  <c r="F209"/>
  <c r="E211"/>
  <c r="F211"/>
  <c r="E213"/>
  <c r="F213"/>
  <c r="E215"/>
  <c r="F215"/>
  <c r="E217"/>
  <c r="F217"/>
  <c r="E221"/>
  <c r="F221"/>
  <c r="E223"/>
  <c r="F223"/>
  <c r="E225"/>
  <c r="F225"/>
  <c r="E226"/>
  <c r="F226"/>
  <c r="E227"/>
  <c r="F227"/>
  <c r="E13" i="21"/>
  <c r="H13"/>
  <c r="E14"/>
  <c r="C16" i="22"/>
  <c r="C18" s="1"/>
  <c r="I14" i="21"/>
  <c r="E15"/>
  <c r="I15"/>
  <c r="D21" i="22"/>
  <c r="E16" i="21"/>
  <c r="C26" i="22" s="1"/>
  <c r="C28" s="1"/>
  <c r="I16" i="21"/>
  <c r="D26" i="22" s="1"/>
  <c r="E17" i="21"/>
  <c r="C31" i="22" s="1"/>
  <c r="I17" i="21"/>
  <c r="D31" i="22"/>
  <c r="E18" i="21"/>
  <c r="I18"/>
  <c r="E19"/>
  <c r="I19"/>
  <c r="D37" i="22" s="1"/>
  <c r="E20" i="21"/>
  <c r="I20"/>
  <c r="E21"/>
  <c r="C47" i="22" s="1"/>
  <c r="F22" i="21"/>
  <c r="F12" s="1"/>
  <c r="H22"/>
  <c r="E22" s="1"/>
  <c r="E23"/>
  <c r="I23"/>
  <c r="E24"/>
  <c r="I24"/>
  <c r="E25"/>
  <c r="I25"/>
  <c r="E26"/>
  <c r="C57" i="22"/>
  <c r="C62" s="1"/>
  <c r="I26" i="21"/>
  <c r="F27"/>
  <c r="H27"/>
  <c r="E28"/>
  <c r="I28"/>
  <c r="E29"/>
  <c r="I29"/>
  <c r="E30"/>
  <c r="E31"/>
  <c r="I31"/>
  <c r="D75" i="22" s="1"/>
  <c r="F32" i="21"/>
  <c r="E32" s="1"/>
  <c r="H32"/>
  <c r="E33"/>
  <c r="C81" i="22"/>
  <c r="C84" s="1"/>
  <c r="I33" i="21"/>
  <c r="D81" i="22" s="1"/>
  <c r="E34" i="21"/>
  <c r="I34"/>
  <c r="E35"/>
  <c r="F35"/>
  <c r="H35"/>
  <c r="L32"/>
  <c r="E36"/>
  <c r="I36"/>
  <c r="E37"/>
  <c r="I37"/>
  <c r="E38"/>
  <c r="I38"/>
  <c r="E39"/>
  <c r="I39"/>
  <c r="F40"/>
  <c r="H40"/>
  <c r="I40"/>
  <c r="E41"/>
  <c r="I41"/>
  <c r="E42"/>
  <c r="I42"/>
  <c r="H43"/>
  <c r="E44"/>
  <c r="F44"/>
  <c r="F43" s="1"/>
  <c r="H44"/>
  <c r="E45"/>
  <c r="E46"/>
  <c r="I46"/>
  <c r="E47"/>
  <c r="I47"/>
  <c r="E48"/>
  <c r="C129" i="22" s="1"/>
  <c r="I48" i="21"/>
  <c r="E49"/>
  <c r="I49"/>
  <c r="E50"/>
  <c r="I50"/>
  <c r="D137" i="22" s="1"/>
  <c r="E137" s="1"/>
  <c r="E51" i="21"/>
  <c r="C142" i="22" s="1"/>
  <c r="C144" s="1"/>
  <c r="F51" i="21"/>
  <c r="H51"/>
  <c r="E52"/>
  <c r="I52"/>
  <c r="E53"/>
  <c r="I53"/>
  <c r="E54"/>
  <c r="I54"/>
  <c r="E55"/>
  <c r="I55"/>
  <c r="E56"/>
  <c r="I56"/>
  <c r="F57"/>
  <c r="H57"/>
  <c r="E58"/>
  <c r="I58"/>
  <c r="E59"/>
  <c r="I59"/>
  <c r="E60"/>
  <c r="I60"/>
  <c r="E61"/>
  <c r="I61"/>
  <c r="E62"/>
  <c r="I62"/>
  <c r="E63"/>
  <c r="I63"/>
  <c r="J64"/>
  <c r="E65"/>
  <c r="F65"/>
  <c r="F64" s="1"/>
  <c r="H65"/>
  <c r="E66"/>
  <c r="C167" i="22"/>
  <c r="I66" i="21"/>
  <c r="E67"/>
  <c r="I67"/>
  <c r="E68"/>
  <c r="I68"/>
  <c r="F69"/>
  <c r="H69"/>
  <c r="E69" s="1"/>
  <c r="E70"/>
  <c r="I70"/>
  <c r="E71"/>
  <c r="C186" i="22"/>
  <c r="F186" s="1"/>
  <c r="I71" i="21"/>
  <c r="E72"/>
  <c r="C191" i="22" s="1"/>
  <c r="F191" s="1"/>
  <c r="I72" i="21"/>
  <c r="E73"/>
  <c r="I73"/>
  <c r="D196" i="22" s="1"/>
  <c r="D198" s="1"/>
  <c r="F74" i="21"/>
  <c r="H74"/>
  <c r="F75"/>
  <c r="H75"/>
  <c r="J74"/>
  <c r="L74"/>
  <c r="E76"/>
  <c r="E77"/>
  <c r="E78"/>
  <c r="I78"/>
  <c r="E79"/>
  <c r="I79"/>
  <c r="E80"/>
  <c r="I80"/>
  <c r="E81"/>
  <c r="I81"/>
  <c r="E82"/>
  <c r="I82"/>
  <c r="E17" i="20"/>
  <c r="F17"/>
  <c r="H17"/>
  <c r="D19"/>
  <c r="E19"/>
  <c r="F19"/>
  <c r="C21"/>
  <c r="E22"/>
  <c r="F22"/>
  <c r="C23"/>
  <c r="D24"/>
  <c r="D26"/>
  <c r="E27"/>
  <c r="F27"/>
  <c r="D29"/>
  <c r="E29" s="1"/>
  <c r="C31"/>
  <c r="D32"/>
  <c r="E32" s="1"/>
  <c r="F32"/>
  <c r="E34"/>
  <c r="F34"/>
  <c r="D35"/>
  <c r="E35"/>
  <c r="F35"/>
  <c r="E38"/>
  <c r="F38"/>
  <c r="D40"/>
  <c r="E40" s="1"/>
  <c r="E43"/>
  <c r="F43"/>
  <c r="D44"/>
  <c r="D45"/>
  <c r="E45"/>
  <c r="F45"/>
  <c r="E48"/>
  <c r="F48"/>
  <c r="D50"/>
  <c r="E50"/>
  <c r="F50"/>
  <c r="C52"/>
  <c r="D52"/>
  <c r="E52"/>
  <c r="F52"/>
  <c r="E53"/>
  <c r="F53"/>
  <c r="C54"/>
  <c r="D54"/>
  <c r="E54" s="1"/>
  <c r="E55"/>
  <c r="F55"/>
  <c r="E58"/>
  <c r="F58"/>
  <c r="E59"/>
  <c r="F59"/>
  <c r="E60"/>
  <c r="E61"/>
  <c r="F61"/>
  <c r="D63"/>
  <c r="E63"/>
  <c r="F63"/>
  <c r="E67"/>
  <c r="F67"/>
  <c r="E69"/>
  <c r="F69"/>
  <c r="E72"/>
  <c r="F72"/>
  <c r="D75"/>
  <c r="E76"/>
  <c r="F76"/>
  <c r="E82"/>
  <c r="F82"/>
  <c r="E83"/>
  <c r="F83"/>
  <c r="D85"/>
  <c r="E85" s="1"/>
  <c r="F85"/>
  <c r="D86"/>
  <c r="E86" s="1"/>
  <c r="E88"/>
  <c r="F88"/>
  <c r="E89"/>
  <c r="E92"/>
  <c r="F92"/>
  <c r="D94"/>
  <c r="E94" s="1"/>
  <c r="E96"/>
  <c r="F96"/>
  <c r="E102"/>
  <c r="F102"/>
  <c r="C103"/>
  <c r="E104"/>
  <c r="F104"/>
  <c r="D106"/>
  <c r="E107"/>
  <c r="F107"/>
  <c r="E109"/>
  <c r="F109"/>
  <c r="C113"/>
  <c r="E114"/>
  <c r="F114"/>
  <c r="C115"/>
  <c r="D115"/>
  <c r="F115" s="1"/>
  <c r="E116"/>
  <c r="F116"/>
  <c r="E117"/>
  <c r="F117"/>
  <c r="C118"/>
  <c r="D118"/>
  <c r="D119"/>
  <c r="E119"/>
  <c r="F119"/>
  <c r="E120"/>
  <c r="F120"/>
  <c r="D121"/>
  <c r="E123"/>
  <c r="D124"/>
  <c r="E126"/>
  <c r="F126"/>
  <c r="D127"/>
  <c r="E127" s="1"/>
  <c r="C129"/>
  <c r="E130"/>
  <c r="F130"/>
  <c r="D132"/>
  <c r="E134"/>
  <c r="F134"/>
  <c r="D135"/>
  <c r="E135" s="1"/>
  <c r="C137"/>
  <c r="C139" s="1"/>
  <c r="E138"/>
  <c r="F138"/>
  <c r="D140"/>
  <c r="E143"/>
  <c r="F143"/>
  <c r="E145"/>
  <c r="F145"/>
  <c r="D149"/>
  <c r="E149" s="1"/>
  <c r="F149"/>
  <c r="D151"/>
  <c r="E151" s="1"/>
  <c r="F151"/>
  <c r="D153"/>
  <c r="D155"/>
  <c r="E155" s="1"/>
  <c r="F155"/>
  <c r="D157"/>
  <c r="E157" s="1"/>
  <c r="D159"/>
  <c r="D161"/>
  <c r="E162"/>
  <c r="F162"/>
  <c r="D164"/>
  <c r="E164"/>
  <c r="F164"/>
  <c r="E169"/>
  <c r="F169"/>
  <c r="E170"/>
  <c r="F170"/>
  <c r="D172"/>
  <c r="E174"/>
  <c r="F174"/>
  <c r="E175"/>
  <c r="F175"/>
  <c r="E177"/>
  <c r="F177"/>
  <c r="D178"/>
  <c r="E178" s="1"/>
  <c r="D186"/>
  <c r="E187"/>
  <c r="F187"/>
  <c r="E189"/>
  <c r="F189"/>
  <c r="D191"/>
  <c r="E192"/>
  <c r="F192"/>
  <c r="D193"/>
  <c r="D194"/>
  <c r="E194" s="1"/>
  <c r="F194"/>
  <c r="E197"/>
  <c r="F197"/>
  <c r="D199"/>
  <c r="D204"/>
  <c r="E204"/>
  <c r="F204"/>
  <c r="D205"/>
  <c r="E205" s="1"/>
  <c r="F205"/>
  <c r="D207"/>
  <c r="E207" s="1"/>
  <c r="E209"/>
  <c r="F209"/>
  <c r="E211"/>
  <c r="F211"/>
  <c r="E213"/>
  <c r="F213"/>
  <c r="D214"/>
  <c r="E214" s="1"/>
  <c r="F214"/>
  <c r="E215"/>
  <c r="F215"/>
  <c r="E217"/>
  <c r="F217"/>
  <c r="E221"/>
  <c r="F221"/>
  <c r="E223"/>
  <c r="F223"/>
  <c r="E225"/>
  <c r="F225"/>
  <c r="E226"/>
  <c r="F226"/>
  <c r="E227"/>
  <c r="F227"/>
  <c r="F12" i="19"/>
  <c r="E13"/>
  <c r="H13"/>
  <c r="H12" s="1"/>
  <c r="J13"/>
  <c r="K13"/>
  <c r="I13" s="1"/>
  <c r="L13"/>
  <c r="E14"/>
  <c r="C16" i="20" s="1"/>
  <c r="C18" s="1"/>
  <c r="I14" i="19"/>
  <c r="D16" i="20" s="1"/>
  <c r="E15" i="19"/>
  <c r="I15"/>
  <c r="D21" i="20" s="1"/>
  <c r="E16" i="19"/>
  <c r="C26" i="20" s="1"/>
  <c r="C28" s="1"/>
  <c r="I16" i="19"/>
  <c r="E17"/>
  <c r="I17"/>
  <c r="D31" i="20" s="1"/>
  <c r="E31" s="1"/>
  <c r="E18" i="19"/>
  <c r="I18"/>
  <c r="E19"/>
  <c r="C37" i="20" s="1"/>
  <c r="I19" i="19"/>
  <c r="D37" i="20" s="1"/>
  <c r="E37" s="1"/>
  <c r="E20" i="19"/>
  <c r="C42" i="20" s="1"/>
  <c r="C44" s="1"/>
  <c r="I20" i="19"/>
  <c r="D42" i="20" s="1"/>
  <c r="E21" i="19"/>
  <c r="C47" i="20" s="1"/>
  <c r="C49" s="1"/>
  <c r="I21" i="19"/>
  <c r="D47" i="20" s="1"/>
  <c r="E47" s="1"/>
  <c r="E22" i="19"/>
  <c r="F22"/>
  <c r="G22"/>
  <c r="G12" s="1"/>
  <c r="H22"/>
  <c r="J22"/>
  <c r="K22"/>
  <c r="E23"/>
  <c r="I23"/>
  <c r="E24"/>
  <c r="I24"/>
  <c r="E25"/>
  <c r="I25"/>
  <c r="E26"/>
  <c r="C57" i="20" s="1"/>
  <c r="C62" s="1"/>
  <c r="I26" i="19"/>
  <c r="D57" i="20" s="1"/>
  <c r="L26" i="19"/>
  <c r="L22" s="1"/>
  <c r="E27"/>
  <c r="C65" i="20" s="1"/>
  <c r="F27" i="19"/>
  <c r="G27"/>
  <c r="H27"/>
  <c r="I27"/>
  <c r="D65" i="20" s="1"/>
  <c r="J27" i="19"/>
  <c r="K27"/>
  <c r="L27"/>
  <c r="E28"/>
  <c r="I28"/>
  <c r="E29"/>
  <c r="I29"/>
  <c r="D70" i="20" s="1"/>
  <c r="E70" s="1"/>
  <c r="E30" i="19"/>
  <c r="E31"/>
  <c r="C75" i="20" s="1"/>
  <c r="C77" s="1"/>
  <c r="I31" i="19"/>
  <c r="G32"/>
  <c r="L32"/>
  <c r="E33"/>
  <c r="C81" i="20" s="1"/>
  <c r="C84" s="1"/>
  <c r="I33" i="19"/>
  <c r="D81" i="20" s="1"/>
  <c r="F81" s="1"/>
  <c r="E34" i="19"/>
  <c r="I34"/>
  <c r="F35"/>
  <c r="F32" s="1"/>
  <c r="G35"/>
  <c r="H35"/>
  <c r="J35"/>
  <c r="J32" s="1"/>
  <c r="I32" s="1"/>
  <c r="K35"/>
  <c r="K32" s="1"/>
  <c r="L35"/>
  <c r="I35" s="1"/>
  <c r="D91" i="20" s="1"/>
  <c r="E36" i="19"/>
  <c r="I36"/>
  <c r="E37"/>
  <c r="I37"/>
  <c r="E38"/>
  <c r="I38"/>
  <c r="E39"/>
  <c r="I39"/>
  <c r="F40"/>
  <c r="G40"/>
  <c r="H40"/>
  <c r="E40" s="1"/>
  <c r="I40"/>
  <c r="D99" i="20" s="1"/>
  <c r="J40" i="19"/>
  <c r="E41"/>
  <c r="I41"/>
  <c r="E42"/>
  <c r="C106" i="20" s="1"/>
  <c r="C99" s="1"/>
  <c r="I42" i="19"/>
  <c r="G43"/>
  <c r="E44"/>
  <c r="F44"/>
  <c r="G44"/>
  <c r="H44"/>
  <c r="J44"/>
  <c r="J43" s="1"/>
  <c r="K44"/>
  <c r="K43" s="1"/>
  <c r="E45"/>
  <c r="I45"/>
  <c r="E46"/>
  <c r="I46"/>
  <c r="E47"/>
  <c r="I47"/>
  <c r="E48"/>
  <c r="I48"/>
  <c r="L48"/>
  <c r="L44" s="1"/>
  <c r="E49"/>
  <c r="I49"/>
  <c r="E50"/>
  <c r="L50"/>
  <c r="I50" s="1"/>
  <c r="D137" i="20" s="1"/>
  <c r="F51" i="19"/>
  <c r="G51"/>
  <c r="H51"/>
  <c r="J51"/>
  <c r="K51"/>
  <c r="L51"/>
  <c r="I51" s="1"/>
  <c r="D142" i="20" s="1"/>
  <c r="E52" i="19"/>
  <c r="I52"/>
  <c r="E53"/>
  <c r="I53"/>
  <c r="E54"/>
  <c r="I54"/>
  <c r="E55"/>
  <c r="I55"/>
  <c r="E56"/>
  <c r="I56"/>
  <c r="F57"/>
  <c r="E57" s="1"/>
  <c r="C147" i="20" s="1"/>
  <c r="G57" i="19"/>
  <c r="H57"/>
  <c r="J57"/>
  <c r="I57" s="1"/>
  <c r="D147" i="20" s="1"/>
  <c r="K57" i="19"/>
  <c r="L57"/>
  <c r="E58"/>
  <c r="I58"/>
  <c r="E59"/>
  <c r="I59"/>
  <c r="E60"/>
  <c r="I60"/>
  <c r="E61"/>
  <c r="I61"/>
  <c r="E62"/>
  <c r="I62"/>
  <c r="E63"/>
  <c r="C161" i="20" s="1"/>
  <c r="C163" s="1"/>
  <c r="I63" i="19"/>
  <c r="L64"/>
  <c r="F65"/>
  <c r="F64" s="1"/>
  <c r="G65"/>
  <c r="E65" s="1"/>
  <c r="H65"/>
  <c r="H64" s="1"/>
  <c r="K65"/>
  <c r="L65"/>
  <c r="I65" s="1"/>
  <c r="D167" i="20" s="1"/>
  <c r="E66" i="19"/>
  <c r="C167" i="20" s="1"/>
  <c r="C171" s="1"/>
  <c r="I66" i="19"/>
  <c r="E67"/>
  <c r="I67"/>
  <c r="E68"/>
  <c r="I68"/>
  <c r="F69"/>
  <c r="G69"/>
  <c r="G64" s="1"/>
  <c r="E64" s="1"/>
  <c r="H69"/>
  <c r="J69"/>
  <c r="J64" s="1"/>
  <c r="K69"/>
  <c r="L69"/>
  <c r="E70"/>
  <c r="I70"/>
  <c r="E71"/>
  <c r="C186" i="20" s="1"/>
  <c r="C188" s="1"/>
  <c r="I71" i="19"/>
  <c r="E72"/>
  <c r="C191" i="20" s="1"/>
  <c r="I72" i="19"/>
  <c r="E73"/>
  <c r="C196" i="20" s="1"/>
  <c r="C198" s="1"/>
  <c r="I73" i="19"/>
  <c r="D196" i="20" s="1"/>
  <c r="G74" i="19"/>
  <c r="F75"/>
  <c r="G75"/>
  <c r="H75"/>
  <c r="H74" s="1"/>
  <c r="J75"/>
  <c r="J74"/>
  <c r="K75"/>
  <c r="K74" s="1"/>
  <c r="E76"/>
  <c r="E77"/>
  <c r="I77"/>
  <c r="E78"/>
  <c r="I78"/>
  <c r="E79"/>
  <c r="L79"/>
  <c r="L75" s="1"/>
  <c r="L74" s="1"/>
  <c r="E80"/>
  <c r="I80"/>
  <c r="E81"/>
  <c r="I81"/>
  <c r="E82"/>
  <c r="C220" i="20" s="1"/>
  <c r="E220" s="1"/>
  <c r="I82" i="19"/>
  <c r="I8" i="18"/>
  <c r="B10"/>
  <c r="G10"/>
  <c r="F10" s="1"/>
  <c r="J10" s="1"/>
  <c r="I10"/>
  <c r="K10"/>
  <c r="E17" i="17"/>
  <c r="F17"/>
  <c r="H17"/>
  <c r="D19"/>
  <c r="E19"/>
  <c r="F19"/>
  <c r="C21"/>
  <c r="C23" s="1"/>
  <c r="E22"/>
  <c r="F22"/>
  <c r="D24"/>
  <c r="E27"/>
  <c r="F27"/>
  <c r="D29"/>
  <c r="E29"/>
  <c r="F29"/>
  <c r="D32"/>
  <c r="E32" s="1"/>
  <c r="F32"/>
  <c r="E34"/>
  <c r="F34"/>
  <c r="D35"/>
  <c r="E35"/>
  <c r="F35"/>
  <c r="E38"/>
  <c r="F38"/>
  <c r="D40"/>
  <c r="E40" s="1"/>
  <c r="E43"/>
  <c r="F43"/>
  <c r="D44"/>
  <c r="D45"/>
  <c r="E45" s="1"/>
  <c r="F45"/>
  <c r="E48"/>
  <c r="F48"/>
  <c r="D50"/>
  <c r="E50" s="1"/>
  <c r="F50"/>
  <c r="D52"/>
  <c r="E53"/>
  <c r="F53"/>
  <c r="E55"/>
  <c r="F55"/>
  <c r="D59"/>
  <c r="F59" s="1"/>
  <c r="D60"/>
  <c r="E60" s="1"/>
  <c r="E61"/>
  <c r="F61"/>
  <c r="E67"/>
  <c r="F67"/>
  <c r="E69"/>
  <c r="F69"/>
  <c r="E70"/>
  <c r="E72"/>
  <c r="F72"/>
  <c r="E76"/>
  <c r="F76"/>
  <c r="E82"/>
  <c r="F82"/>
  <c r="E83"/>
  <c r="F83"/>
  <c r="D84"/>
  <c r="D85"/>
  <c r="E85" s="1"/>
  <c r="F85"/>
  <c r="D86"/>
  <c r="E86" s="1"/>
  <c r="E88"/>
  <c r="F88"/>
  <c r="E89"/>
  <c r="E92"/>
  <c r="F92"/>
  <c r="D94"/>
  <c r="E94" s="1"/>
  <c r="E96"/>
  <c r="F96"/>
  <c r="E102"/>
  <c r="F102"/>
  <c r="C103"/>
  <c r="E104"/>
  <c r="F104"/>
  <c r="D106"/>
  <c r="E107"/>
  <c r="F107"/>
  <c r="E109"/>
  <c r="F109"/>
  <c r="C113"/>
  <c r="E114"/>
  <c r="F114"/>
  <c r="C115"/>
  <c r="F115" s="1"/>
  <c r="D115"/>
  <c r="E115"/>
  <c r="E116"/>
  <c r="F116"/>
  <c r="E117"/>
  <c r="F117"/>
  <c r="D119"/>
  <c r="E119" s="1"/>
  <c r="E120"/>
  <c r="F120"/>
  <c r="D121"/>
  <c r="E121" s="1"/>
  <c r="E123"/>
  <c r="D124"/>
  <c r="E124" s="1"/>
  <c r="E126"/>
  <c r="F126"/>
  <c r="D127"/>
  <c r="E127" s="1"/>
  <c r="D129"/>
  <c r="E130"/>
  <c r="F130"/>
  <c r="D132"/>
  <c r="E132"/>
  <c r="F132"/>
  <c r="E134"/>
  <c r="F134"/>
  <c r="D135"/>
  <c r="E135" s="1"/>
  <c r="E138"/>
  <c r="F138"/>
  <c r="D140"/>
  <c r="E140" s="1"/>
  <c r="E143"/>
  <c r="F143"/>
  <c r="E145"/>
  <c r="F145"/>
  <c r="E149"/>
  <c r="F149"/>
  <c r="E151"/>
  <c r="F151"/>
  <c r="E153"/>
  <c r="F153"/>
  <c r="E155"/>
  <c r="F155"/>
  <c r="E157"/>
  <c r="F157"/>
  <c r="D159"/>
  <c r="E159" s="1"/>
  <c r="E162"/>
  <c r="F162"/>
  <c r="D164"/>
  <c r="E164" s="1"/>
  <c r="E169"/>
  <c r="F169"/>
  <c r="E170"/>
  <c r="F170"/>
  <c r="D172"/>
  <c r="E172" s="1"/>
  <c r="E174"/>
  <c r="F174"/>
  <c r="D175"/>
  <c r="E175" s="1"/>
  <c r="E177"/>
  <c r="F177"/>
  <c r="D178"/>
  <c r="E178" s="1"/>
  <c r="D186"/>
  <c r="E187"/>
  <c r="F187"/>
  <c r="E189"/>
  <c r="F189"/>
  <c r="D191"/>
  <c r="E192"/>
  <c r="F192"/>
  <c r="D193"/>
  <c r="D194"/>
  <c r="E194" s="1"/>
  <c r="E197"/>
  <c r="F197"/>
  <c r="D199"/>
  <c r="E199" s="1"/>
  <c r="E204"/>
  <c r="F204"/>
  <c r="E205"/>
  <c r="F205"/>
  <c r="E207"/>
  <c r="F207"/>
  <c r="E209"/>
  <c r="F209"/>
  <c r="E211"/>
  <c r="F211"/>
  <c r="E213"/>
  <c r="F213"/>
  <c r="D214"/>
  <c r="E214" s="1"/>
  <c r="E215"/>
  <c r="F215"/>
  <c r="E217"/>
  <c r="F217"/>
  <c r="E221"/>
  <c r="F221"/>
  <c r="E223"/>
  <c r="F223"/>
  <c r="E225"/>
  <c r="F225"/>
  <c r="E226"/>
  <c r="F226"/>
  <c r="E227"/>
  <c r="F227"/>
  <c r="H13" i="16"/>
  <c r="E13" s="1"/>
  <c r="J13"/>
  <c r="K13"/>
  <c r="L13"/>
  <c r="E14"/>
  <c r="C16" i="17" s="1"/>
  <c r="C18" s="1"/>
  <c r="I14" i="16"/>
  <c r="D16" i="17" s="1"/>
  <c r="E15" i="16"/>
  <c r="I15"/>
  <c r="D21" i="17" s="1"/>
  <c r="E16" i="16"/>
  <c r="C26" i="17" s="1"/>
  <c r="I16" i="16"/>
  <c r="D26" i="17" s="1"/>
  <c r="E17" i="16"/>
  <c r="C31" i="17" s="1"/>
  <c r="I17" i="16"/>
  <c r="D31" i="17" s="1"/>
  <c r="E18" i="16"/>
  <c r="I18"/>
  <c r="E19"/>
  <c r="C37" i="17" s="1"/>
  <c r="C39" s="1"/>
  <c r="I19" i="16"/>
  <c r="D37" i="17" s="1"/>
  <c r="E20" i="16"/>
  <c r="C42" i="17" s="1"/>
  <c r="I20" i="16"/>
  <c r="E21"/>
  <c r="C47" i="17" s="1"/>
  <c r="I21" i="16"/>
  <c r="D47" i="17" s="1"/>
  <c r="F22" i="16"/>
  <c r="E22" s="1"/>
  <c r="G22"/>
  <c r="H22"/>
  <c r="K22"/>
  <c r="E23"/>
  <c r="C52" i="17" s="1"/>
  <c r="C54" s="1"/>
  <c r="E54" s="1"/>
  <c r="I23" i="16"/>
  <c r="E24"/>
  <c r="I24"/>
  <c r="E25"/>
  <c r="I25"/>
  <c r="E26"/>
  <c r="C57" i="17" s="1"/>
  <c r="J26" i="16"/>
  <c r="J22" s="1"/>
  <c r="L26"/>
  <c r="L22" s="1"/>
  <c r="F27"/>
  <c r="G27"/>
  <c r="H27"/>
  <c r="K27"/>
  <c r="L27"/>
  <c r="E28"/>
  <c r="I28"/>
  <c r="J28"/>
  <c r="J27" s="1"/>
  <c r="I27" s="1"/>
  <c r="D65" i="17" s="1"/>
  <c r="E29" i="16"/>
  <c r="I29"/>
  <c r="E30"/>
  <c r="I30"/>
  <c r="E31"/>
  <c r="C75" i="17" s="1"/>
  <c r="C77" s="1"/>
  <c r="I31" i="16"/>
  <c r="D75" i="17" s="1"/>
  <c r="E33" i="16"/>
  <c r="C81" i="17" s="1"/>
  <c r="C84" s="1"/>
  <c r="L33" i="16"/>
  <c r="E34"/>
  <c r="I34"/>
  <c r="F35"/>
  <c r="F32" s="1"/>
  <c r="G35"/>
  <c r="G32" s="1"/>
  <c r="H35"/>
  <c r="J35"/>
  <c r="K35"/>
  <c r="K32" s="1"/>
  <c r="L35"/>
  <c r="E36"/>
  <c r="I36"/>
  <c r="E37"/>
  <c r="I37"/>
  <c r="E38"/>
  <c r="I38"/>
  <c r="E39"/>
  <c r="I39"/>
  <c r="F40"/>
  <c r="G40"/>
  <c r="H40"/>
  <c r="J40"/>
  <c r="I40" s="1"/>
  <c r="D99" i="17" s="1"/>
  <c r="E41" i="16"/>
  <c r="I41"/>
  <c r="E42"/>
  <c r="C106" i="17" s="1"/>
  <c r="I42" i="16"/>
  <c r="F44"/>
  <c r="G44"/>
  <c r="H44"/>
  <c r="K44"/>
  <c r="K43" s="1"/>
  <c r="L44"/>
  <c r="E45"/>
  <c r="J45"/>
  <c r="D113" i="17" s="1"/>
  <c r="E46" i="16"/>
  <c r="I46"/>
  <c r="E47"/>
  <c r="I47"/>
  <c r="E48"/>
  <c r="C129" i="17" s="1"/>
  <c r="C131" s="1"/>
  <c r="I48" i="16"/>
  <c r="E49"/>
  <c r="I49"/>
  <c r="E50"/>
  <c r="C137" i="17" s="1"/>
  <c r="C139" s="1"/>
  <c r="L50" i="16"/>
  <c r="I50" s="1"/>
  <c r="D137" i="17" s="1"/>
  <c r="F51" i="16"/>
  <c r="G51"/>
  <c r="H51"/>
  <c r="J51"/>
  <c r="K51"/>
  <c r="E52"/>
  <c r="I52"/>
  <c r="E53"/>
  <c r="I53"/>
  <c r="E54"/>
  <c r="I54"/>
  <c r="E55"/>
  <c r="I55"/>
  <c r="E56"/>
  <c r="L56"/>
  <c r="L51" s="1"/>
  <c r="F57"/>
  <c r="G57"/>
  <c r="H57"/>
  <c r="J57"/>
  <c r="K57"/>
  <c r="E58"/>
  <c r="I58"/>
  <c r="E59"/>
  <c r="I59"/>
  <c r="E60"/>
  <c r="I60"/>
  <c r="E61"/>
  <c r="I61"/>
  <c r="E62"/>
  <c r="I62"/>
  <c r="L62"/>
  <c r="L57" s="1"/>
  <c r="E63"/>
  <c r="C161" i="17" s="1"/>
  <c r="I63" i="16"/>
  <c r="D161" i="17" s="1"/>
  <c r="F65" i="16"/>
  <c r="F64" s="1"/>
  <c r="G65"/>
  <c r="H65"/>
  <c r="K65"/>
  <c r="E66"/>
  <c r="C167" i="17" s="1"/>
  <c r="C171" s="1"/>
  <c r="J66" i="16"/>
  <c r="J65" s="1"/>
  <c r="L66"/>
  <c r="L65" s="1"/>
  <c r="E67"/>
  <c r="I67"/>
  <c r="E68"/>
  <c r="I68"/>
  <c r="F69"/>
  <c r="G69"/>
  <c r="H69"/>
  <c r="J69"/>
  <c r="K69"/>
  <c r="L69"/>
  <c r="E70"/>
  <c r="I70"/>
  <c r="E71"/>
  <c r="C186" i="17" s="1"/>
  <c r="I71" i="16"/>
  <c r="E72"/>
  <c r="C191" i="17" s="1"/>
  <c r="I72" i="16"/>
  <c r="E73"/>
  <c r="C196" i="17" s="1"/>
  <c r="I73" i="16"/>
  <c r="D196" i="17" s="1"/>
  <c r="F75" i="16"/>
  <c r="F74" s="1"/>
  <c r="G75"/>
  <c r="G74" s="1"/>
  <c r="H75"/>
  <c r="H74" s="1"/>
  <c r="J75"/>
  <c r="J74" s="1"/>
  <c r="K75"/>
  <c r="K74" s="1"/>
  <c r="E76"/>
  <c r="L76"/>
  <c r="L75" s="1"/>
  <c r="L74" s="1"/>
  <c r="E77"/>
  <c r="I77"/>
  <c r="E78"/>
  <c r="I78"/>
  <c r="E79"/>
  <c r="I79"/>
  <c r="L79"/>
  <c r="E80"/>
  <c r="I80"/>
  <c r="E81"/>
  <c r="I81"/>
  <c r="E82"/>
  <c r="C220" i="17" s="1"/>
  <c r="I82" i="16"/>
  <c r="E9" i="14"/>
  <c r="F9"/>
  <c r="E10"/>
  <c r="F10"/>
  <c r="C11"/>
  <c r="F11" s="1"/>
  <c r="D11"/>
  <c r="E12"/>
  <c r="F12"/>
  <c r="E14"/>
  <c r="F14"/>
  <c r="E15"/>
  <c r="F15"/>
  <c r="C16"/>
  <c r="D16"/>
  <c r="E16"/>
  <c r="F16"/>
  <c r="E17"/>
  <c r="F17"/>
  <c r="E19"/>
  <c r="F19"/>
  <c r="E20"/>
  <c r="F20"/>
  <c r="C21"/>
  <c r="D21"/>
  <c r="E21" s="1"/>
  <c r="E22"/>
  <c r="F22"/>
  <c r="E24"/>
  <c r="F24"/>
  <c r="E25"/>
  <c r="F25"/>
  <c r="D26"/>
  <c r="E26" s="1"/>
  <c r="E27"/>
  <c r="F27"/>
  <c r="E29"/>
  <c r="F29"/>
  <c r="E30"/>
  <c r="F30"/>
  <c r="E32"/>
  <c r="F32"/>
  <c r="E33"/>
  <c r="F33"/>
  <c r="C34"/>
  <c r="D34"/>
  <c r="E34" s="1"/>
  <c r="F34"/>
  <c r="E35"/>
  <c r="F35"/>
  <c r="E37"/>
  <c r="F37"/>
  <c r="E38"/>
  <c r="F38"/>
  <c r="E39"/>
  <c r="F39"/>
  <c r="E40"/>
  <c r="F40"/>
  <c r="E42"/>
  <c r="F42"/>
  <c r="E43"/>
  <c r="F43"/>
  <c r="D44"/>
  <c r="E44"/>
  <c r="F44"/>
  <c r="E45"/>
  <c r="F45"/>
  <c r="D47"/>
  <c r="E48"/>
  <c r="F48"/>
  <c r="E50"/>
  <c r="F50"/>
  <c r="E51"/>
  <c r="F51"/>
  <c r="C52"/>
  <c r="D52"/>
  <c r="F52" s="1"/>
  <c r="E54"/>
  <c r="F54"/>
  <c r="E55"/>
  <c r="F55"/>
  <c r="C56"/>
  <c r="E56"/>
  <c r="F56"/>
  <c r="E58"/>
  <c r="F58"/>
  <c r="E59"/>
  <c r="F59"/>
  <c r="C60"/>
  <c r="E60" s="1"/>
  <c r="F60"/>
  <c r="E61"/>
  <c r="F61"/>
  <c r="E63"/>
  <c r="F63"/>
  <c r="E64"/>
  <c r="F64"/>
  <c r="C65"/>
  <c r="E65"/>
  <c r="F65"/>
  <c r="E66"/>
  <c r="F66"/>
  <c r="E69"/>
  <c r="F69"/>
  <c r="E70"/>
  <c r="F70"/>
  <c r="C71"/>
  <c r="E71" s="1"/>
  <c r="F71"/>
  <c r="E72"/>
  <c r="F72"/>
  <c r="E74"/>
  <c r="F74"/>
  <c r="E75"/>
  <c r="F75"/>
  <c r="C76"/>
  <c r="E76"/>
  <c r="F76"/>
  <c r="E77"/>
  <c r="F77"/>
  <c r="E79"/>
  <c r="F79"/>
  <c r="E80"/>
  <c r="F80"/>
  <c r="E82"/>
  <c r="F82"/>
  <c r="E83"/>
  <c r="F83"/>
  <c r="C84"/>
  <c r="F84" s="1"/>
  <c r="D84"/>
  <c r="E85"/>
  <c r="F85"/>
  <c r="E88"/>
  <c r="F88"/>
  <c r="E90"/>
  <c r="F90"/>
  <c r="E91"/>
  <c r="F91"/>
  <c r="E93"/>
  <c r="F93"/>
  <c r="E94"/>
  <c r="F94"/>
  <c r="E96"/>
  <c r="F96"/>
  <c r="E97"/>
  <c r="F97"/>
  <c r="E99"/>
  <c r="F99"/>
  <c r="E100"/>
  <c r="F100"/>
  <c r="E102"/>
  <c r="F102"/>
  <c r="E103"/>
  <c r="F103"/>
  <c r="E104"/>
  <c r="F104"/>
  <c r="E105"/>
  <c r="F105"/>
  <c r="E106"/>
  <c r="F106"/>
  <c r="E108"/>
  <c r="F108"/>
  <c r="E109"/>
  <c r="F109"/>
  <c r="D110"/>
  <c r="E110" s="1"/>
  <c r="E111"/>
  <c r="F111"/>
  <c r="E113"/>
  <c r="F113"/>
  <c r="E117"/>
  <c r="F117"/>
  <c r="E118"/>
  <c r="F118"/>
  <c r="E120"/>
  <c r="F120"/>
  <c r="E121"/>
  <c r="F121"/>
  <c r="E123"/>
  <c r="F123"/>
  <c r="E124"/>
  <c r="F124"/>
  <c r="E127"/>
  <c r="F127"/>
  <c r="E128"/>
  <c r="F128"/>
  <c r="C129"/>
  <c r="D129"/>
  <c r="E130"/>
  <c r="F130"/>
  <c r="E132"/>
  <c r="F132"/>
  <c r="E133"/>
  <c r="F133"/>
  <c r="E135"/>
  <c r="F135"/>
  <c r="E136"/>
  <c r="F136"/>
  <c r="E138"/>
  <c r="F138"/>
  <c r="E139"/>
  <c r="F139"/>
  <c r="C140"/>
  <c r="E140" s="1"/>
  <c r="D140"/>
  <c r="F140"/>
  <c r="E141"/>
  <c r="F141"/>
  <c r="E143"/>
  <c r="F143"/>
  <c r="E144"/>
  <c r="F144"/>
  <c r="E146"/>
  <c r="F146"/>
  <c r="E147"/>
  <c r="F147"/>
  <c r="D148"/>
  <c r="E148"/>
  <c r="F148"/>
  <c r="E149"/>
  <c r="F149"/>
  <c r="E152"/>
  <c r="F152"/>
  <c r="E153"/>
  <c r="F153"/>
  <c r="C154"/>
  <c r="D154"/>
  <c r="F154" s="1"/>
  <c r="E155"/>
  <c r="F155"/>
  <c r="E157"/>
  <c r="F157"/>
  <c r="E158"/>
  <c r="F158"/>
  <c r="D159"/>
  <c r="E159" s="1"/>
  <c r="E160"/>
  <c r="F160"/>
  <c r="E162"/>
  <c r="F162"/>
  <c r="E163"/>
  <c r="F163"/>
  <c r="D164"/>
  <c r="E164" s="1"/>
  <c r="E165"/>
  <c r="F165"/>
  <c r="E168"/>
  <c r="F168"/>
  <c r="E170"/>
  <c r="F170"/>
  <c r="E171"/>
  <c r="F171"/>
  <c r="E172"/>
  <c r="F172"/>
  <c r="E173"/>
  <c r="F173"/>
  <c r="E174"/>
  <c r="F174"/>
  <c r="E175"/>
  <c r="F175"/>
  <c r="E177"/>
  <c r="F177"/>
  <c r="E178"/>
  <c r="F178"/>
  <c r="D179"/>
  <c r="E180"/>
  <c r="F180"/>
  <c r="E182"/>
  <c r="F182"/>
  <c r="E183"/>
  <c r="F183"/>
  <c r="E184"/>
  <c r="F184"/>
  <c r="E185"/>
  <c r="F185"/>
  <c r="E189"/>
  <c r="F189"/>
  <c r="E190"/>
  <c r="F190"/>
  <c r="E191"/>
  <c r="F191"/>
  <c r="D192"/>
  <c r="E192"/>
  <c r="F192"/>
  <c r="E193"/>
  <c r="F193"/>
  <c r="E195"/>
  <c r="F195"/>
  <c r="E196"/>
  <c r="F196"/>
  <c r="E198"/>
  <c r="F198"/>
  <c r="E199"/>
  <c r="F199"/>
  <c r="E200"/>
  <c r="F200"/>
  <c r="E203"/>
  <c r="F203"/>
  <c r="E204"/>
  <c r="F204"/>
  <c r="E205"/>
  <c r="F205"/>
  <c r="E206"/>
  <c r="F206"/>
  <c r="E207"/>
  <c r="F207"/>
  <c r="E208"/>
  <c r="F208"/>
  <c r="E210"/>
  <c r="F210"/>
  <c r="E211"/>
  <c r="F211"/>
  <c r="E212"/>
  <c r="F212"/>
  <c r="E213"/>
  <c r="F213"/>
  <c r="E214"/>
  <c r="F214"/>
  <c r="E216"/>
  <c r="F216"/>
  <c r="E217"/>
  <c r="F217"/>
  <c r="E218"/>
  <c r="F218"/>
  <c r="E219"/>
  <c r="F219"/>
  <c r="E220"/>
  <c r="F220"/>
  <c r="E221"/>
  <c r="F221"/>
  <c r="E223"/>
  <c r="F223"/>
  <c r="E224"/>
  <c r="F224"/>
  <c r="E226"/>
  <c r="F226"/>
  <c r="E227"/>
  <c r="F227"/>
  <c r="E229"/>
  <c r="F229"/>
  <c r="E230"/>
  <c r="F230"/>
  <c r="D231"/>
  <c r="E232"/>
  <c r="F232"/>
  <c r="E235"/>
  <c r="F235"/>
  <c r="E236"/>
  <c r="F236"/>
  <c r="C237"/>
  <c r="D237"/>
  <c r="E238"/>
  <c r="F238"/>
  <c r="E240"/>
  <c r="F240"/>
  <c r="E241"/>
  <c r="F241"/>
  <c r="E243"/>
  <c r="F243"/>
  <c r="E244"/>
  <c r="F244"/>
  <c r="E245"/>
  <c r="F245"/>
  <c r="E246"/>
  <c r="F246"/>
  <c r="E248"/>
  <c r="F248"/>
  <c r="D249"/>
  <c r="E250"/>
  <c r="F250"/>
  <c r="F9" i="13"/>
  <c r="G9"/>
  <c r="H9"/>
  <c r="J9"/>
  <c r="K9"/>
  <c r="L9"/>
  <c r="E10"/>
  <c r="I10"/>
  <c r="E11"/>
  <c r="I11"/>
  <c r="E12"/>
  <c r="I12"/>
  <c r="E13"/>
  <c r="I13"/>
  <c r="E14"/>
  <c r="I14"/>
  <c r="E15"/>
  <c r="I15"/>
  <c r="E16"/>
  <c r="I16"/>
  <c r="E17"/>
  <c r="I17"/>
  <c r="F18"/>
  <c r="G18"/>
  <c r="H18"/>
  <c r="J18"/>
  <c r="K18"/>
  <c r="L18"/>
  <c r="E19"/>
  <c r="I19"/>
  <c r="E20"/>
  <c r="I20"/>
  <c r="E21"/>
  <c r="I21"/>
  <c r="F22"/>
  <c r="G22"/>
  <c r="H22"/>
  <c r="J22"/>
  <c r="K22"/>
  <c r="L22"/>
  <c r="E23"/>
  <c r="I23"/>
  <c r="E24"/>
  <c r="I24"/>
  <c r="E25"/>
  <c r="I25"/>
  <c r="E26"/>
  <c r="I26"/>
  <c r="E28"/>
  <c r="I28"/>
  <c r="I29"/>
  <c r="I30"/>
  <c r="I31"/>
  <c r="E32"/>
  <c r="I32"/>
  <c r="F33"/>
  <c r="G33"/>
  <c r="H33"/>
  <c r="J33"/>
  <c r="K33"/>
  <c r="L33"/>
  <c r="E34"/>
  <c r="I34"/>
  <c r="E35"/>
  <c r="I35"/>
  <c r="E36"/>
  <c r="I36"/>
  <c r="G38"/>
  <c r="E39"/>
  <c r="E38" s="1"/>
  <c r="E40"/>
  <c r="F42"/>
  <c r="G42"/>
  <c r="H42"/>
  <c r="J42"/>
  <c r="K42"/>
  <c r="L42"/>
  <c r="E43"/>
  <c r="I43"/>
  <c r="E44"/>
  <c r="E45"/>
  <c r="E46"/>
  <c r="I46"/>
  <c r="E47"/>
  <c r="I47"/>
  <c r="E48"/>
  <c r="I48"/>
  <c r="G50"/>
  <c r="G49" s="1"/>
  <c r="J50"/>
  <c r="J49" s="1"/>
  <c r="K50"/>
  <c r="K49" s="1"/>
  <c r="L50"/>
  <c r="L49" s="1"/>
  <c r="I51"/>
  <c r="I52"/>
  <c r="I53"/>
  <c r="I54"/>
  <c r="I55"/>
  <c r="L56"/>
  <c r="F57"/>
  <c r="F56" s="1"/>
  <c r="F55" s="1"/>
  <c r="G57"/>
  <c r="G56" s="1"/>
  <c r="H57"/>
  <c r="H56" s="1"/>
  <c r="H55" s="1"/>
  <c r="H54" s="1"/>
  <c r="H53" s="1"/>
  <c r="H52" s="1"/>
  <c r="H51" s="1"/>
  <c r="H50" s="1"/>
  <c r="H49" s="1"/>
  <c r="J57"/>
  <c r="I57" s="1"/>
  <c r="K57"/>
  <c r="K56" s="1"/>
  <c r="E58"/>
  <c r="I58"/>
  <c r="E59"/>
  <c r="I59"/>
  <c r="E60"/>
  <c r="I60"/>
  <c r="E61"/>
  <c r="I61"/>
  <c r="E62"/>
  <c r="I62"/>
  <c r="E63"/>
  <c r="F65"/>
  <c r="G65"/>
  <c r="H65"/>
  <c r="J65"/>
  <c r="K65"/>
  <c r="L65"/>
  <c r="E66"/>
  <c r="I66"/>
  <c r="E67"/>
  <c r="I67"/>
  <c r="E68"/>
  <c r="I68"/>
  <c r="E69"/>
  <c r="I69"/>
  <c r="F70"/>
  <c r="G70"/>
  <c r="H70"/>
  <c r="J70"/>
  <c r="K70"/>
  <c r="L70"/>
  <c r="E71"/>
  <c r="E70" s="1"/>
  <c r="I71"/>
  <c r="I70" s="1"/>
  <c r="F72"/>
  <c r="G72"/>
  <c r="H72"/>
  <c r="J72"/>
  <c r="K72"/>
  <c r="L72"/>
  <c r="E73"/>
  <c r="I73"/>
  <c r="E74"/>
  <c r="I74"/>
  <c r="E75"/>
  <c r="I75"/>
  <c r="E78"/>
  <c r="I78"/>
  <c r="E80"/>
  <c r="I80"/>
  <c r="E81"/>
  <c r="E82"/>
  <c r="I82"/>
  <c r="C103"/>
  <c r="B103" s="1"/>
  <c r="D103"/>
  <c r="E9" i="11"/>
  <c r="F9"/>
  <c r="E10"/>
  <c r="F10"/>
  <c r="C11"/>
  <c r="D11"/>
  <c r="E12"/>
  <c r="F12"/>
  <c r="E14"/>
  <c r="F14"/>
  <c r="E15"/>
  <c r="F15"/>
  <c r="C16"/>
  <c r="D16"/>
  <c r="F16" s="1"/>
  <c r="E16"/>
  <c r="E17"/>
  <c r="F17"/>
  <c r="E19"/>
  <c r="F19"/>
  <c r="E20"/>
  <c r="F20"/>
  <c r="C21"/>
  <c r="D21"/>
  <c r="E22"/>
  <c r="F22"/>
  <c r="E24"/>
  <c r="F24"/>
  <c r="E25"/>
  <c r="F25"/>
  <c r="D26"/>
  <c r="E26" s="1"/>
  <c r="E27"/>
  <c r="F27"/>
  <c r="E29"/>
  <c r="F29"/>
  <c r="E30"/>
  <c r="F30"/>
  <c r="E32"/>
  <c r="F32"/>
  <c r="E33"/>
  <c r="F33"/>
  <c r="C34"/>
  <c r="D34"/>
  <c r="F34"/>
  <c r="E35"/>
  <c r="F35"/>
  <c r="E37"/>
  <c r="F37"/>
  <c r="E38"/>
  <c r="F38"/>
  <c r="E39"/>
  <c r="F39"/>
  <c r="E40"/>
  <c r="F40"/>
  <c r="E42"/>
  <c r="F42"/>
  <c r="E43"/>
  <c r="F43"/>
  <c r="D44"/>
  <c r="F44" s="1"/>
  <c r="E44"/>
  <c r="E45"/>
  <c r="F45"/>
  <c r="D47"/>
  <c r="E48"/>
  <c r="F48"/>
  <c r="E50"/>
  <c r="F50"/>
  <c r="E51"/>
  <c r="F51"/>
  <c r="C52"/>
  <c r="F52" s="1"/>
  <c r="D52"/>
  <c r="E54"/>
  <c r="F54"/>
  <c r="E55"/>
  <c r="F55"/>
  <c r="C56"/>
  <c r="F56" s="1"/>
  <c r="E56"/>
  <c r="E58"/>
  <c r="F58"/>
  <c r="E59"/>
  <c r="F59"/>
  <c r="C60"/>
  <c r="E60" s="1"/>
  <c r="E61"/>
  <c r="F61"/>
  <c r="E63"/>
  <c r="F63"/>
  <c r="E64"/>
  <c r="F64"/>
  <c r="C65"/>
  <c r="E65" s="1"/>
  <c r="F65"/>
  <c r="E66"/>
  <c r="F66"/>
  <c r="E69"/>
  <c r="F69"/>
  <c r="E70"/>
  <c r="F70"/>
  <c r="C71"/>
  <c r="E71" s="1"/>
  <c r="F71"/>
  <c r="E72"/>
  <c r="F72"/>
  <c r="E74"/>
  <c r="F74"/>
  <c r="E75"/>
  <c r="F75"/>
  <c r="C76"/>
  <c r="F76" s="1"/>
  <c r="E76"/>
  <c r="E77"/>
  <c r="F77"/>
  <c r="E79"/>
  <c r="F79"/>
  <c r="E80"/>
  <c r="F80"/>
  <c r="E82"/>
  <c r="F82"/>
  <c r="E83"/>
  <c r="F83"/>
  <c r="C84"/>
  <c r="D84"/>
  <c r="E85"/>
  <c r="F85"/>
  <c r="E88"/>
  <c r="F88"/>
  <c r="E90"/>
  <c r="F90"/>
  <c r="E91"/>
  <c r="F91"/>
  <c r="E93"/>
  <c r="F93"/>
  <c r="E94"/>
  <c r="F94"/>
  <c r="E96"/>
  <c r="F96"/>
  <c r="E97"/>
  <c r="F97"/>
  <c r="E99"/>
  <c r="F99"/>
  <c r="E100"/>
  <c r="F100"/>
  <c r="E102"/>
  <c r="F102"/>
  <c r="E103"/>
  <c r="F103"/>
  <c r="E104"/>
  <c r="F104"/>
  <c r="E105"/>
  <c r="F105"/>
  <c r="E106"/>
  <c r="F106"/>
  <c r="E108"/>
  <c r="F108"/>
  <c r="E109"/>
  <c r="F109"/>
  <c r="D110"/>
  <c r="E110" s="1"/>
  <c r="F110"/>
  <c r="E111"/>
  <c r="F111"/>
  <c r="E113"/>
  <c r="F113"/>
  <c r="E117"/>
  <c r="F117"/>
  <c r="E118"/>
  <c r="F118"/>
  <c r="E120"/>
  <c r="F120"/>
  <c r="E121"/>
  <c r="F121"/>
  <c r="E123"/>
  <c r="F123"/>
  <c r="E124"/>
  <c r="F124"/>
  <c r="E127"/>
  <c r="F127"/>
  <c r="E128"/>
  <c r="F128"/>
  <c r="C129"/>
  <c r="D129"/>
  <c r="E130"/>
  <c r="F130"/>
  <c r="E132"/>
  <c r="F132"/>
  <c r="E133"/>
  <c r="F133"/>
  <c r="E135"/>
  <c r="F135"/>
  <c r="E136"/>
  <c r="F136"/>
  <c r="E138"/>
  <c r="F138"/>
  <c r="E139"/>
  <c r="F139"/>
  <c r="C140"/>
  <c r="D140"/>
  <c r="E140"/>
  <c r="F140"/>
  <c r="E141"/>
  <c r="F141"/>
  <c r="E143"/>
  <c r="F143"/>
  <c r="E144"/>
  <c r="F144"/>
  <c r="E146"/>
  <c r="F146"/>
  <c r="E147"/>
  <c r="F147"/>
  <c r="D148"/>
  <c r="F148" s="1"/>
  <c r="E148"/>
  <c r="E149"/>
  <c r="F149"/>
  <c r="E152"/>
  <c r="F152"/>
  <c r="E153"/>
  <c r="F153"/>
  <c r="C154"/>
  <c r="F154" s="1"/>
  <c r="D154"/>
  <c r="E155"/>
  <c r="F155"/>
  <c r="E157"/>
  <c r="F157"/>
  <c r="E158"/>
  <c r="F158"/>
  <c r="D159"/>
  <c r="E159"/>
  <c r="F159"/>
  <c r="E160"/>
  <c r="F160"/>
  <c r="E162"/>
  <c r="F162"/>
  <c r="E163"/>
  <c r="F163"/>
  <c r="D164"/>
  <c r="E164" s="1"/>
  <c r="F164"/>
  <c r="E165"/>
  <c r="F165"/>
  <c r="E168"/>
  <c r="F168"/>
  <c r="E170"/>
  <c r="F170"/>
  <c r="E171"/>
  <c r="F171"/>
  <c r="E172"/>
  <c r="F172"/>
  <c r="E173"/>
  <c r="F173"/>
  <c r="E174"/>
  <c r="F174"/>
  <c r="E175"/>
  <c r="F175"/>
  <c r="E177"/>
  <c r="F177"/>
  <c r="E178"/>
  <c r="F178"/>
  <c r="D179"/>
  <c r="E180"/>
  <c r="F180"/>
  <c r="E182"/>
  <c r="F182"/>
  <c r="E183"/>
  <c r="F183"/>
  <c r="E184"/>
  <c r="F184"/>
  <c r="E185"/>
  <c r="F185"/>
  <c r="E189"/>
  <c r="F189"/>
  <c r="E190"/>
  <c r="F190"/>
  <c r="E191"/>
  <c r="F191"/>
  <c r="D192"/>
  <c r="F192" s="1"/>
  <c r="E192"/>
  <c r="E193"/>
  <c r="F193"/>
  <c r="E195"/>
  <c r="F195"/>
  <c r="E196"/>
  <c r="F196"/>
  <c r="E198"/>
  <c r="F198"/>
  <c r="E199"/>
  <c r="F199"/>
  <c r="E200"/>
  <c r="F200"/>
  <c r="E203"/>
  <c r="F203"/>
  <c r="E204"/>
  <c r="F204"/>
  <c r="E205"/>
  <c r="F205"/>
  <c r="E206"/>
  <c r="F206"/>
  <c r="E207"/>
  <c r="F207"/>
  <c r="E208"/>
  <c r="F208"/>
  <c r="E210"/>
  <c r="F210"/>
  <c r="E211"/>
  <c r="F211"/>
  <c r="E212"/>
  <c r="F212"/>
  <c r="E213"/>
  <c r="F213"/>
  <c r="E214"/>
  <c r="F214"/>
  <c r="E216"/>
  <c r="F216"/>
  <c r="E217"/>
  <c r="F217"/>
  <c r="E218"/>
  <c r="F218"/>
  <c r="E219"/>
  <c r="F219"/>
  <c r="E220"/>
  <c r="F220"/>
  <c r="E221"/>
  <c r="F221"/>
  <c r="E223"/>
  <c r="F223"/>
  <c r="E224"/>
  <c r="F224"/>
  <c r="E226"/>
  <c r="F226"/>
  <c r="E227"/>
  <c r="F227"/>
  <c r="E229"/>
  <c r="F229"/>
  <c r="E230"/>
  <c r="F230"/>
  <c r="D231"/>
  <c r="E232"/>
  <c r="F232"/>
  <c r="E235"/>
  <c r="F235"/>
  <c r="E236"/>
  <c r="F236"/>
  <c r="C237"/>
  <c r="D237"/>
  <c r="E238"/>
  <c r="F238"/>
  <c r="E240"/>
  <c r="F240"/>
  <c r="E241"/>
  <c r="F241"/>
  <c r="E243"/>
  <c r="F243"/>
  <c r="E244"/>
  <c r="F244"/>
  <c r="E245"/>
  <c r="F245"/>
  <c r="E246"/>
  <c r="F246"/>
  <c r="E248"/>
  <c r="F248"/>
  <c r="D249"/>
  <c r="E250"/>
  <c r="F250"/>
  <c r="F9" i="7"/>
  <c r="G9"/>
  <c r="H9"/>
  <c r="J9"/>
  <c r="K9"/>
  <c r="L9"/>
  <c r="E10"/>
  <c r="I10"/>
  <c r="E11"/>
  <c r="I11"/>
  <c r="E12"/>
  <c r="I12"/>
  <c r="E13"/>
  <c r="I13"/>
  <c r="E14"/>
  <c r="I14"/>
  <c r="E15"/>
  <c r="L15"/>
  <c r="I15" s="1"/>
  <c r="E16"/>
  <c r="I16"/>
  <c r="E17"/>
  <c r="I17"/>
  <c r="F18"/>
  <c r="G18"/>
  <c r="H18"/>
  <c r="J18"/>
  <c r="K18"/>
  <c r="L18"/>
  <c r="E19"/>
  <c r="I19"/>
  <c r="E20"/>
  <c r="I20"/>
  <c r="E21"/>
  <c r="I21"/>
  <c r="F22"/>
  <c r="G22"/>
  <c r="H22"/>
  <c r="J22"/>
  <c r="K22"/>
  <c r="E23"/>
  <c r="E22" s="1"/>
  <c r="I23"/>
  <c r="E24"/>
  <c r="L24"/>
  <c r="L22" s="1"/>
  <c r="E25"/>
  <c r="I25"/>
  <c r="E26"/>
  <c r="I26"/>
  <c r="E28"/>
  <c r="I28"/>
  <c r="I29"/>
  <c r="I30"/>
  <c r="I31"/>
  <c r="E32"/>
  <c r="I32"/>
  <c r="F33"/>
  <c r="G33"/>
  <c r="H33"/>
  <c r="J33"/>
  <c r="K33"/>
  <c r="L33"/>
  <c r="E34"/>
  <c r="I34"/>
  <c r="E35"/>
  <c r="I35"/>
  <c r="E36"/>
  <c r="I36"/>
  <c r="F42"/>
  <c r="G42"/>
  <c r="H42"/>
  <c r="J42"/>
  <c r="K42"/>
  <c r="E43"/>
  <c r="I43"/>
  <c r="E44"/>
  <c r="E45"/>
  <c r="E46"/>
  <c r="L46"/>
  <c r="L42" s="1"/>
  <c r="E47"/>
  <c r="I47"/>
  <c r="E48"/>
  <c r="I48"/>
  <c r="G50"/>
  <c r="G49" s="1"/>
  <c r="K50"/>
  <c r="K49" s="1"/>
  <c r="L50"/>
  <c r="L49" s="1"/>
  <c r="I54"/>
  <c r="I55"/>
  <c r="F57"/>
  <c r="F56" s="1"/>
  <c r="F55" s="1"/>
  <c r="G57"/>
  <c r="G56" s="1"/>
  <c r="H57"/>
  <c r="H56" s="1"/>
  <c r="H55" s="1"/>
  <c r="H54" s="1"/>
  <c r="H53" s="1"/>
  <c r="H52" s="1"/>
  <c r="H51" s="1"/>
  <c r="H50" s="1"/>
  <c r="H49" s="1"/>
  <c r="J57"/>
  <c r="J56" s="1"/>
  <c r="J53" s="1"/>
  <c r="K57"/>
  <c r="K56" s="1"/>
  <c r="L57"/>
  <c r="L56" s="1"/>
  <c r="L95" s="1"/>
  <c r="E58"/>
  <c r="I58"/>
  <c r="E59"/>
  <c r="I59"/>
  <c r="E60"/>
  <c r="I60"/>
  <c r="E61"/>
  <c r="I61"/>
  <c r="E62"/>
  <c r="I62"/>
  <c r="E63"/>
  <c r="F65"/>
  <c r="G65"/>
  <c r="H65"/>
  <c r="J65"/>
  <c r="K65"/>
  <c r="L65"/>
  <c r="E66"/>
  <c r="I66"/>
  <c r="E67"/>
  <c r="I67"/>
  <c r="E68"/>
  <c r="I68"/>
  <c r="E69"/>
  <c r="I69"/>
  <c r="F70"/>
  <c r="H70"/>
  <c r="J70"/>
  <c r="K70"/>
  <c r="L70"/>
  <c r="E71"/>
  <c r="E70" s="1"/>
  <c r="G71"/>
  <c r="G70" s="1"/>
  <c r="I71"/>
  <c r="I70" s="1"/>
  <c r="F72"/>
  <c r="G72"/>
  <c r="H72"/>
  <c r="J72"/>
  <c r="K72"/>
  <c r="L72"/>
  <c r="E73"/>
  <c r="I73"/>
  <c r="E74"/>
  <c r="I74"/>
  <c r="E75"/>
  <c r="I75"/>
  <c r="E78"/>
  <c r="I78"/>
  <c r="E80"/>
  <c r="I80"/>
  <c r="E81"/>
  <c r="E82"/>
  <c r="I82"/>
  <c r="C103"/>
  <c r="D103"/>
  <c r="B103" s="1"/>
  <c r="F178" i="22"/>
  <c r="F159"/>
  <c r="F140"/>
  <c r="F35"/>
  <c r="F32"/>
  <c r="F19"/>
  <c r="D18" i="20"/>
  <c r="E16"/>
  <c r="F16"/>
  <c r="L12" i="19"/>
  <c r="D198" i="20"/>
  <c r="F196"/>
  <c r="I75" i="19"/>
  <c r="I74"/>
  <c r="I75" i="21"/>
  <c r="I35"/>
  <c r="D91" i="22" s="1"/>
  <c r="I27" i="21"/>
  <c r="D118" i="22"/>
  <c r="C171"/>
  <c r="G83" i="21"/>
  <c r="C188" i="22"/>
  <c r="E188" s="1"/>
  <c r="C139"/>
  <c r="E75" i="21"/>
  <c r="C201" i="22"/>
  <c r="C193"/>
  <c r="E193" s="1"/>
  <c r="E191"/>
  <c r="F129"/>
  <c r="C49"/>
  <c r="C131"/>
  <c r="J12" i="21"/>
  <c r="I13"/>
  <c r="E18" i="20"/>
  <c r="F18"/>
  <c r="F198"/>
  <c r="E198"/>
  <c r="C94" i="21"/>
  <c r="F193" i="22"/>
  <c r="F188"/>
  <c r="E85"/>
  <c r="F137"/>
  <c r="L43" i="21"/>
  <c r="I51"/>
  <c r="D142" i="22"/>
  <c r="D144" s="1"/>
  <c r="I44" i="21"/>
  <c r="F94" i="22"/>
  <c r="F199"/>
  <c r="D57"/>
  <c r="F57" s="1"/>
  <c r="D47"/>
  <c r="D49" s="1"/>
  <c r="E113"/>
  <c r="I74" i="21"/>
  <c r="E186" i="22"/>
  <c r="I64" i="21"/>
  <c r="D161" i="22"/>
  <c r="D163" s="1"/>
  <c r="D139"/>
  <c r="D131"/>
  <c r="F131" s="1"/>
  <c r="I32" i="21"/>
  <c r="E81" i="22"/>
  <c r="F81"/>
  <c r="D70"/>
  <c r="E70" s="1"/>
  <c r="D65"/>
  <c r="F47"/>
  <c r="I22" i="21"/>
  <c r="D52" i="22"/>
  <c r="L12" i="21"/>
  <c r="D39" i="22"/>
  <c r="F31"/>
  <c r="E31"/>
  <c r="E26"/>
  <c r="F26"/>
  <c r="D28"/>
  <c r="E28" s="1"/>
  <c r="E21"/>
  <c r="F21"/>
  <c r="D23"/>
  <c r="F23" s="1"/>
  <c r="D16"/>
  <c r="F16" s="1"/>
  <c r="D201"/>
  <c r="D214" s="1"/>
  <c r="D62"/>
  <c r="E62" s="1"/>
  <c r="E47"/>
  <c r="E139"/>
  <c r="F139"/>
  <c r="E131"/>
  <c r="F70"/>
  <c r="D54"/>
  <c r="F28"/>
  <c r="D18"/>
  <c r="E16"/>
  <c r="F62"/>
  <c r="E201" l="1"/>
  <c r="E75" i="20"/>
  <c r="E196"/>
  <c r="C108"/>
  <c r="F108" s="1"/>
  <c r="F70"/>
  <c r="F26"/>
  <c r="E49" i="22"/>
  <c r="F49"/>
  <c r="E144"/>
  <c r="F144"/>
  <c r="I9" i="7"/>
  <c r="E237" i="11"/>
  <c r="F237"/>
  <c r="E179"/>
  <c r="F179"/>
  <c r="E129"/>
  <c r="F129"/>
  <c r="E249" i="14"/>
  <c r="F249"/>
  <c r="E129"/>
  <c r="F129"/>
  <c r="E47"/>
  <c r="F47"/>
  <c r="H43" i="16"/>
  <c r="E188" i="20"/>
  <c r="F188"/>
  <c r="G95" i="7"/>
  <c r="E42"/>
  <c r="F201" i="22"/>
  <c r="E57"/>
  <c r="F142"/>
  <c r="E47" i="11"/>
  <c r="F47"/>
  <c r="E21"/>
  <c r="F21"/>
  <c r="E237" i="14"/>
  <c r="E231"/>
  <c r="F231"/>
  <c r="E84"/>
  <c r="E77" i="20"/>
  <c r="F77"/>
  <c r="F44"/>
  <c r="E44"/>
  <c r="E142" i="22"/>
  <c r="E23"/>
  <c r="E249" i="11"/>
  <c r="F249"/>
  <c r="E11"/>
  <c r="F11"/>
  <c r="I65" i="13"/>
  <c r="I9"/>
  <c r="L83" i="21"/>
  <c r="E231" i="11"/>
  <c r="F231"/>
  <c r="F84"/>
  <c r="E84"/>
  <c r="E179" i="14"/>
  <c r="F179"/>
  <c r="F24" i="17"/>
  <c r="E24"/>
  <c r="E21" i="20"/>
  <c r="D23"/>
  <c r="E23" s="1"/>
  <c r="F140"/>
  <c r="E140"/>
  <c r="F121"/>
  <c r="E121"/>
  <c r="D39"/>
  <c r="C196" i="22"/>
  <c r="D99"/>
  <c r="I65" i="7"/>
  <c r="K95"/>
  <c r="F103" s="1"/>
  <c r="E18"/>
  <c r="E9"/>
  <c r="F60" i="11"/>
  <c r="E34"/>
  <c r="F26"/>
  <c r="E65" i="13"/>
  <c r="H95"/>
  <c r="I50"/>
  <c r="I49" s="1"/>
  <c r="I33"/>
  <c r="E18"/>
  <c r="E9"/>
  <c r="F237" i="14"/>
  <c r="F164"/>
  <c r="F159"/>
  <c r="F26"/>
  <c r="F21"/>
  <c r="I69" i="16"/>
  <c r="E69"/>
  <c r="K64"/>
  <c r="E51"/>
  <c r="C142" i="17" s="1"/>
  <c r="G43" i="16"/>
  <c r="J32"/>
  <c r="K12"/>
  <c r="K83" s="1"/>
  <c r="F94" s="1"/>
  <c r="F199" i="17"/>
  <c r="F178"/>
  <c r="F164"/>
  <c r="F127"/>
  <c r="F124"/>
  <c r="F121"/>
  <c r="F86"/>
  <c r="E69" i="19"/>
  <c r="K64"/>
  <c r="L43"/>
  <c r="L83" s="1"/>
  <c r="H32"/>
  <c r="E35"/>
  <c r="C91" i="20" s="1"/>
  <c r="E91" s="1"/>
  <c r="I22" i="19"/>
  <c r="G83"/>
  <c r="F37" i="20"/>
  <c r="C39"/>
  <c r="F39" s="1"/>
  <c r="K12" i="19"/>
  <c r="K83" s="1"/>
  <c r="F94" s="1"/>
  <c r="E161" i="20"/>
  <c r="F161"/>
  <c r="D163"/>
  <c r="D28"/>
  <c r="F28" s="1"/>
  <c r="F24"/>
  <c r="E24"/>
  <c r="I65" i="21"/>
  <c r="D167" i="22" s="1"/>
  <c r="E43" i="21"/>
  <c r="C106" i="22"/>
  <c r="F83" i="21"/>
  <c r="E129" i="22"/>
  <c r="E57" i="21"/>
  <c r="I72" i="7"/>
  <c r="E65"/>
  <c r="I57"/>
  <c r="I56" s="1"/>
  <c r="I33"/>
  <c r="I18"/>
  <c r="I72" i="13"/>
  <c r="E57"/>
  <c r="E56" s="1"/>
  <c r="L95"/>
  <c r="I42"/>
  <c r="E33"/>
  <c r="I22"/>
  <c r="I18"/>
  <c r="F110" i="14"/>
  <c r="E11"/>
  <c r="L64" i="16"/>
  <c r="H64"/>
  <c r="E57"/>
  <c r="C147" i="17" s="1"/>
  <c r="E44" i="16"/>
  <c r="E40"/>
  <c r="H32"/>
  <c r="E27"/>
  <c r="C65" i="17" s="1"/>
  <c r="F65" s="1"/>
  <c r="G12" i="16"/>
  <c r="I13"/>
  <c r="F214" i="17"/>
  <c r="F194"/>
  <c r="F175"/>
  <c r="F172"/>
  <c r="F159"/>
  <c r="F140"/>
  <c r="F119"/>
  <c r="F94"/>
  <c r="D58"/>
  <c r="F40"/>
  <c r="F74" i="19"/>
  <c r="E74" s="1"/>
  <c r="E75"/>
  <c r="C201" i="20" s="1"/>
  <c r="F201" s="1"/>
  <c r="I64" i="19"/>
  <c r="H43"/>
  <c r="E51"/>
  <c r="C142" i="20" s="1"/>
  <c r="C144" s="1"/>
  <c r="F43" i="19"/>
  <c r="E81" i="20"/>
  <c r="E42"/>
  <c r="F42"/>
  <c r="J12" i="19"/>
  <c r="J83" s="1"/>
  <c r="E12"/>
  <c r="F83"/>
  <c r="F172" i="20"/>
  <c r="E172"/>
  <c r="F159"/>
  <c r="E159"/>
  <c r="F153"/>
  <c r="E153"/>
  <c r="C131"/>
  <c r="F124"/>
  <c r="E124"/>
  <c r="F47"/>
  <c r="C220" i="22"/>
  <c r="E74" i="21"/>
  <c r="H64"/>
  <c r="H12"/>
  <c r="F63" i="22"/>
  <c r="E63"/>
  <c r="K12" i="21"/>
  <c r="I12" s="1"/>
  <c r="I12" i="19"/>
  <c r="E72" i="7"/>
  <c r="E57"/>
  <c r="E56" s="1"/>
  <c r="H95"/>
  <c r="E33"/>
  <c r="E154" i="11"/>
  <c r="E52"/>
  <c r="E72" i="13"/>
  <c r="E42"/>
  <c r="E22"/>
  <c r="E154" i="14"/>
  <c r="E52"/>
  <c r="G64" i="16"/>
  <c r="L32"/>
  <c r="F135" i="17"/>
  <c r="F70"/>
  <c r="F191" i="20"/>
  <c r="C193"/>
  <c r="F193" s="1"/>
  <c r="E32" i="19"/>
  <c r="F75" i="20"/>
  <c r="H83" i="19"/>
  <c r="D94" s="1"/>
  <c r="F199" i="20"/>
  <c r="E199"/>
  <c r="E191"/>
  <c r="F132"/>
  <c r="E132"/>
  <c r="E106"/>
  <c r="F106"/>
  <c r="D49"/>
  <c r="E64" i="21"/>
  <c r="C161" i="22"/>
  <c r="F115"/>
  <c r="E115"/>
  <c r="J43" i="21"/>
  <c r="I57"/>
  <c r="D147" i="22" s="1"/>
  <c r="D158" s="1"/>
  <c r="I79" i="19"/>
  <c r="E186" i="20"/>
  <c r="D129"/>
  <c r="F129" s="1"/>
  <c r="E118"/>
  <c r="E113"/>
  <c r="C75" i="22"/>
  <c r="C37"/>
  <c r="F207" i="20"/>
  <c r="F178"/>
  <c r="F157"/>
  <c r="F135"/>
  <c r="F127"/>
  <c r="F94"/>
  <c r="F86"/>
  <c r="F54"/>
  <c r="F40"/>
  <c r="F29"/>
  <c r="C42" i="22"/>
  <c r="F194"/>
  <c r="C118"/>
  <c r="E118" s="1"/>
  <c r="F50"/>
  <c r="F40"/>
  <c r="C52"/>
  <c r="C54" s="1"/>
  <c r="F54" s="1"/>
  <c r="I69" i="19"/>
  <c r="F186" i="20"/>
  <c r="F118"/>
  <c r="E115"/>
  <c r="F113"/>
  <c r="I103" i="7"/>
  <c r="F54"/>
  <c r="E55"/>
  <c r="J52"/>
  <c r="I53"/>
  <c r="E55" i="13"/>
  <c r="F54"/>
  <c r="E220" i="17"/>
  <c r="C222"/>
  <c r="F220"/>
  <c r="F196"/>
  <c r="C198"/>
  <c r="C193"/>
  <c r="F193" s="1"/>
  <c r="F191"/>
  <c r="F186"/>
  <c r="E186"/>
  <c r="C188"/>
  <c r="I65" i="16"/>
  <c r="D167" i="17" s="1"/>
  <c r="J64" i="16"/>
  <c r="E161" i="17"/>
  <c r="D163"/>
  <c r="C144"/>
  <c r="F75"/>
  <c r="E75"/>
  <c r="E65"/>
  <c r="C62"/>
  <c r="F47"/>
  <c r="C49"/>
  <c r="E42"/>
  <c r="F42"/>
  <c r="F26"/>
  <c r="C28"/>
  <c r="E201" i="20"/>
  <c r="E167"/>
  <c r="F167"/>
  <c r="D171"/>
  <c r="E147"/>
  <c r="F147"/>
  <c r="D158"/>
  <c r="E142"/>
  <c r="F142"/>
  <c r="D144"/>
  <c r="F137"/>
  <c r="D139"/>
  <c r="E137"/>
  <c r="F91"/>
  <c r="K95" i="13"/>
  <c r="F103" s="1"/>
  <c r="G95"/>
  <c r="E74" i="16"/>
  <c r="I57"/>
  <c r="D147" i="17" s="1"/>
  <c r="I51" i="16"/>
  <c r="D142" i="17" s="1"/>
  <c r="F142" s="1"/>
  <c r="E196"/>
  <c r="D198"/>
  <c r="E198" s="1"/>
  <c r="F161"/>
  <c r="C163"/>
  <c r="E137"/>
  <c r="F137"/>
  <c r="D139"/>
  <c r="E113"/>
  <c r="D118"/>
  <c r="F113"/>
  <c r="C99"/>
  <c r="E99" s="1"/>
  <c r="F106"/>
  <c r="C108"/>
  <c r="F108" s="1"/>
  <c r="E84"/>
  <c r="F84"/>
  <c r="E77"/>
  <c r="F77"/>
  <c r="E47"/>
  <c r="D49"/>
  <c r="E37"/>
  <c r="F37"/>
  <c r="D39"/>
  <c r="E31"/>
  <c r="F31"/>
  <c r="E26"/>
  <c r="D28"/>
  <c r="E28" s="1"/>
  <c r="E21"/>
  <c r="F21"/>
  <c r="D23"/>
  <c r="E16"/>
  <c r="F16"/>
  <c r="D18"/>
  <c r="E18" s="1"/>
  <c r="E58"/>
  <c r="D63"/>
  <c r="F58"/>
  <c r="E65" i="20"/>
  <c r="F65"/>
  <c r="F57"/>
  <c r="E57"/>
  <c r="D62"/>
  <c r="I74" i="16"/>
  <c r="E64"/>
  <c r="L43"/>
  <c r="E32"/>
  <c r="I22"/>
  <c r="G83"/>
  <c r="C94" s="1"/>
  <c r="L12"/>
  <c r="L83" s="1"/>
  <c r="F129" i="17"/>
  <c r="I43" i="19"/>
  <c r="J56" i="13"/>
  <c r="I56" s="1"/>
  <c r="I95" s="1"/>
  <c r="I76" i="16"/>
  <c r="I66"/>
  <c r="I56"/>
  <c r="I45"/>
  <c r="J44"/>
  <c r="F43"/>
  <c r="E43" s="1"/>
  <c r="I26"/>
  <c r="D57" i="17" s="1"/>
  <c r="F57" s="1"/>
  <c r="J12" i="16"/>
  <c r="H12"/>
  <c r="H83" s="1"/>
  <c r="F12"/>
  <c r="D131" i="17"/>
  <c r="C118"/>
  <c r="E106"/>
  <c r="E59"/>
  <c r="I44" i="19"/>
  <c r="F220" i="20"/>
  <c r="F31"/>
  <c r="E26"/>
  <c r="F21"/>
  <c r="C147" i="22"/>
  <c r="F118"/>
  <c r="C91"/>
  <c r="E91" s="1"/>
  <c r="I46" i="7"/>
  <c r="I42" s="1"/>
  <c r="I24"/>
  <c r="I22" s="1"/>
  <c r="I75" i="16"/>
  <c r="E75"/>
  <c r="C201" i="17" s="1"/>
  <c r="E65" i="16"/>
  <c r="I35"/>
  <c r="D91" i="17" s="1"/>
  <c r="E35" i="16"/>
  <c r="C91" i="17" s="1"/>
  <c r="I33" i="16"/>
  <c r="D81" i="17" s="1"/>
  <c r="E191"/>
  <c r="E129"/>
  <c r="D101"/>
  <c r="E101" s="1"/>
  <c r="E52"/>
  <c r="D101" i="20"/>
  <c r="E101" s="1"/>
  <c r="E28"/>
  <c r="D101" i="22"/>
  <c r="E101" s="1"/>
  <c r="C65"/>
  <c r="F214"/>
  <c r="E214"/>
  <c r="F99" i="17"/>
  <c r="F99" i="20"/>
  <c r="E99"/>
  <c r="E18" i="22"/>
  <c r="F18"/>
  <c r="C44" i="17"/>
  <c r="C222" i="20"/>
  <c r="F118" i="17" l="1"/>
  <c r="F23" i="20"/>
  <c r="E193" i="17"/>
  <c r="C39" i="22"/>
  <c r="E37"/>
  <c r="F37"/>
  <c r="E158"/>
  <c r="F158"/>
  <c r="F161"/>
  <c r="E161"/>
  <c r="C163"/>
  <c r="K83" i="21"/>
  <c r="F94" s="1"/>
  <c r="I94" s="1"/>
  <c r="F106" i="22"/>
  <c r="C99"/>
  <c r="E99" s="1"/>
  <c r="C108"/>
  <c r="F108" s="1"/>
  <c r="E106"/>
  <c r="I32" i="16"/>
  <c r="F99" i="22"/>
  <c r="E39" i="20"/>
  <c r="F49"/>
  <c r="E49"/>
  <c r="F220" i="22"/>
  <c r="E220"/>
  <c r="C222"/>
  <c r="D171"/>
  <c r="E167"/>
  <c r="F167"/>
  <c r="E163" i="20"/>
  <c r="F163"/>
  <c r="F163" i="17"/>
  <c r="I64" i="16"/>
  <c r="C77" i="22"/>
  <c r="E75"/>
  <c r="F75"/>
  <c r="E129" i="20"/>
  <c r="D131"/>
  <c r="E131" s="1"/>
  <c r="J83" i="21"/>
  <c r="I43"/>
  <c r="G94" i="19"/>
  <c r="J94" s="1"/>
  <c r="I83"/>
  <c r="E43"/>
  <c r="E83"/>
  <c r="C94"/>
  <c r="B94" s="1"/>
  <c r="E193" i="20"/>
  <c r="F52" i="22"/>
  <c r="E52"/>
  <c r="E54"/>
  <c r="H83" i="21"/>
  <c r="D94" s="1"/>
  <c r="B94" s="1"/>
  <c r="E12"/>
  <c r="F131" i="20"/>
  <c r="E49" i="17"/>
  <c r="C44" i="22"/>
  <c r="F42"/>
  <c r="E42"/>
  <c r="I94" i="19"/>
  <c r="E94"/>
  <c r="E196" i="22"/>
  <c r="C198"/>
  <c r="F196"/>
  <c r="F147"/>
  <c r="E147"/>
  <c r="E131" i="17"/>
  <c r="F131"/>
  <c r="E12" i="16"/>
  <c r="F83"/>
  <c r="E83" s="1"/>
  <c r="I12"/>
  <c r="E23" i="17"/>
  <c r="F23"/>
  <c r="E139"/>
  <c r="F139"/>
  <c r="E147"/>
  <c r="D158"/>
  <c r="F147"/>
  <c r="I103" i="13"/>
  <c r="F139" i="20"/>
  <c r="E139"/>
  <c r="E144"/>
  <c r="F144"/>
  <c r="E171"/>
  <c r="F171"/>
  <c r="E167" i="17"/>
  <c r="F167"/>
  <c r="D171"/>
  <c r="F53" i="7"/>
  <c r="E54"/>
  <c r="J95" i="13"/>
  <c r="G103" s="1"/>
  <c r="J103" s="1"/>
  <c r="E118" i="17"/>
  <c r="F18"/>
  <c r="F198"/>
  <c r="F65" i="22"/>
  <c r="E65"/>
  <c r="E81" i="17"/>
  <c r="F81"/>
  <c r="F91"/>
  <c r="E91"/>
  <c r="D93"/>
  <c r="E201"/>
  <c r="F201"/>
  <c r="E57"/>
  <c r="D62"/>
  <c r="E62" s="1"/>
  <c r="I44" i="16"/>
  <c r="J43"/>
  <c r="I43" s="1"/>
  <c r="E62" i="20"/>
  <c r="F62"/>
  <c r="F63" i="17"/>
  <c r="E63"/>
  <c r="E39"/>
  <c r="F39"/>
  <c r="I94" i="16"/>
  <c r="E142" i="17"/>
  <c r="D144"/>
  <c r="E144" s="1"/>
  <c r="E158" i="20"/>
  <c r="F158"/>
  <c r="E188" i="17"/>
  <c r="F188"/>
  <c r="E222"/>
  <c r="F222"/>
  <c r="E54" i="13"/>
  <c r="F53"/>
  <c r="J51" i="7"/>
  <c r="I52"/>
  <c r="D94" i="16"/>
  <c r="B94" s="1"/>
  <c r="F28" i="17"/>
  <c r="F49"/>
  <c r="F62"/>
  <c r="E163"/>
  <c r="F91" i="22"/>
  <c r="F44" i="17"/>
  <c r="E44"/>
  <c r="E222" i="20"/>
  <c r="F222"/>
  <c r="F144" i="17" l="1"/>
  <c r="F222" i="22"/>
  <c r="E222"/>
  <c r="F198"/>
  <c r="E198"/>
  <c r="E83" i="21"/>
  <c r="G94"/>
  <c r="I83"/>
  <c r="E39" i="22"/>
  <c r="F39"/>
  <c r="F77"/>
  <c r="E77"/>
  <c r="F163"/>
  <c r="E163"/>
  <c r="H94" i="19"/>
  <c r="E44" i="22"/>
  <c r="F44"/>
  <c r="E171"/>
  <c r="F171"/>
  <c r="E53" i="13"/>
  <c r="F52"/>
  <c r="F52" i="7"/>
  <c r="E53"/>
  <c r="E171" i="17"/>
  <c r="F171"/>
  <c r="E158"/>
  <c r="F158"/>
  <c r="E103" i="13"/>
  <c r="H103" s="1"/>
  <c r="J83" i="16"/>
  <c r="J50" i="7"/>
  <c r="J49" s="1"/>
  <c r="J95" s="1"/>
  <c r="G103" s="1"/>
  <c r="I51"/>
  <c r="I50" s="1"/>
  <c r="I49" s="1"/>
  <c r="I95" s="1"/>
  <c r="E93" i="17"/>
  <c r="F93"/>
  <c r="E94" i="21" l="1"/>
  <c r="H94" s="1"/>
  <c r="J94"/>
  <c r="I83" i="16"/>
  <c r="G94"/>
  <c r="E52" i="13"/>
  <c r="F51"/>
  <c r="J103" i="7"/>
  <c r="E103"/>
  <c r="H103" s="1"/>
  <c r="F51"/>
  <c r="E52"/>
  <c r="E51" i="13" l="1"/>
  <c r="E50" s="1"/>
  <c r="E49" s="1"/>
  <c r="E95" s="1"/>
  <c r="F50"/>
  <c r="F49" s="1"/>
  <c r="F95" s="1"/>
  <c r="E51" i="7"/>
  <c r="E50" s="1"/>
  <c r="E49" s="1"/>
  <c r="E95" s="1"/>
  <c r="F50"/>
  <c r="F49" s="1"/>
  <c r="F95" s="1"/>
  <c r="J94" i="16"/>
  <c r="E94"/>
  <c r="H94" s="1"/>
</calcChain>
</file>

<file path=xl/sharedStrings.xml><?xml version="1.0" encoding="utf-8"?>
<sst xmlns="http://schemas.openxmlformats.org/spreadsheetml/2006/main" count="4124" uniqueCount="965">
  <si>
    <t>3.1.2</t>
  </si>
  <si>
    <t>3.1.1</t>
  </si>
  <si>
    <t>3.1.3</t>
  </si>
  <si>
    <t>3.1.4</t>
  </si>
  <si>
    <t>3.1.5</t>
  </si>
  <si>
    <t>впровадження ЗПТ в неспеціалізованих закладах охорони здоров’я (закладах первинної медико-санітарної допомоги, клініко-діагностичних центрах, тощо)</t>
  </si>
  <si>
    <t>Забезпечити реалізацію заходів, спрямованих на досягнення елімінації передачі ВІЛ від матері до дитини шляхом:</t>
  </si>
  <si>
    <t>РАЗОМ ПО ПРОГРАМІ, тис. грн.</t>
  </si>
  <si>
    <t>5. Аналіз виконання за видатками в цілому за програмою:</t>
  </si>
  <si>
    <t>тис. грн.</t>
  </si>
  <si>
    <t>Бюджетні асигнування з урахуванням змін</t>
  </si>
  <si>
    <t>Проведені видатки</t>
  </si>
  <si>
    <t>Відхилення</t>
  </si>
  <si>
    <t>усього</t>
  </si>
  <si>
    <t>загальний фонд</t>
  </si>
  <si>
    <t>спеціальний фонд</t>
  </si>
  <si>
    <t xml:space="preserve"> </t>
  </si>
  <si>
    <t>1.</t>
  </si>
  <si>
    <t>Департамент охорони здоров'я виконавчого органу Київської міської ради (Київської міської державної адміністрації)</t>
  </si>
  <si>
    <t>(найменування головного розпорядника коштів програми)</t>
  </si>
  <si>
    <t>Департамент здоров'я виконавчого органу Київської міської ради (Київської міської державної адміністрації)</t>
  </si>
  <si>
    <t>(найменування відповідального виконавця програми)</t>
  </si>
  <si>
    <t>(найменування програми, дата і номер рішення Київської міської ради про її затвердження)</t>
  </si>
  <si>
    <t>4.</t>
  </si>
  <si>
    <t>Напрями діяльності та заходи міської цільової програми:</t>
  </si>
  <si>
    <t xml:space="preserve">Міська цільова програма протидії епідемії ВІЛ-інфекції на 2017−2021 роки, затверджена рішенням Київської міської ради від 08 грудня 2016 року № 538/1542
</t>
  </si>
  <si>
    <t>№ з/п </t>
  </si>
  <si>
    <t>кошти інших джерел </t>
  </si>
  <si>
    <t>1</t>
  </si>
  <si>
    <t>7</t>
  </si>
  <si>
    <t>9</t>
  </si>
  <si>
    <t>11</t>
  </si>
  <si>
    <t>Неурядові організації (за згодою) (далі - НУО)</t>
  </si>
  <si>
    <t>2017 - 2021</t>
  </si>
  <si>
    <t>НУО</t>
  </si>
  <si>
    <t xml:space="preserve">Запровадити у закладах охорони здоров’я, які надають (у т.ч. амбулаторну) медичну допомогу населенню, ПТВ з використанням швидких тестів:
- для осіб, які мають клінічні ознаки ВІЛ/СНІД;
- для осіб, у яких наявні поведінкові фактори ризику, та їхніх статевих партнерів;
- для статевих партнерів людей, які живуть з ВІЛ-інфекцією
</t>
  </si>
  <si>
    <t xml:space="preserve">Департамент охорони здоров’я, Управління охорони здоров’я районних в місті Києві державних адміністрацій, НУО </t>
  </si>
  <si>
    <t>Захід </t>
  </si>
  <si>
    <t>Відповідальний виконавець </t>
  </si>
  <si>
    <t>Термін виконання </t>
  </si>
  <si>
    <t>Фактичні обсяги фінансування, тис. грн. </t>
  </si>
  <si>
    <t>Усього </t>
  </si>
  <si>
    <t>у тому числі: </t>
  </si>
  <si>
    <t>бюджет м. Києва </t>
  </si>
  <si>
    <t>державний бюджет </t>
  </si>
  <si>
    <t>Планові обсяги фінансування, тис. грн. </t>
  </si>
  <si>
    <t>1.1.</t>
  </si>
  <si>
    <t>чоловіків, які мають сексуальні стосунки із чоловіками (далі - ЧСЧ)</t>
  </si>
  <si>
    <t>Запобігання поширення ВІЛ серед ключових груп населення</t>
  </si>
  <si>
    <t xml:space="preserve">Забезпечити групи підвищеного ризику щодо інфікування ВІЛ (далі – ГПР) комплексним пакетом послуг з метою запобігання нових випадків інфікування у т.ч. за стратегією «зменшення шкоди», зокрема, </t>
  </si>
  <si>
    <t>людей, які вживають ін'єкційні наркотики (далі - ЛВІН)</t>
  </si>
  <si>
    <t xml:space="preserve">НУО </t>
  </si>
  <si>
    <t>робітників комерційного сексу (далі - РКС)</t>
  </si>
  <si>
    <t>Забезпечити створення та розповсюдження інформаційних матеріалів соціальної реклами), спрямованої на запобігання поширення ВІЛ серед ГПР</t>
  </si>
  <si>
    <t>Впроваджувати нові моделі профілактичної роботи з метою виходу на важкодоступні ГПР щодо інфікування ВІЛ</t>
  </si>
  <si>
    <t>Забезпечити функціонування мобільних амбулаторій для посилення ефективності профілактичної роботи громадських організацій</t>
  </si>
  <si>
    <t>Здійснити пілотування та впровадження преконтактної профілактики (РгЕР) антиретровірусними препаратами серед ЧСЧ:</t>
  </si>
  <si>
    <t>Забезпечити ефективну систему виявлення ВІЛ-інфекції серед статевих партнерів ЛЖВ та взяття під медичне спостереження у випадку виявлення ВІЛ-інфекції</t>
  </si>
  <si>
    <t>Забезпечити стійкість програми замісної підтримувальної терапії (ЗПТ) для людей, які вживають ін'єкційні наркотики (ЛВІН) зокрема,</t>
  </si>
  <si>
    <t xml:space="preserve">Департамент охорони здоров’я </t>
  </si>
  <si>
    <t xml:space="preserve">Департамент охорони здоров’я, НУО </t>
  </si>
  <si>
    <t>шляхом розширення мережі кабінетів ЗПТ та забезпечення їх функціонування за принципом інтегрованої медичної допомоги</t>
  </si>
  <si>
    <t>Департамент охорони здоров’я</t>
  </si>
  <si>
    <t>1.2</t>
  </si>
  <si>
    <t>1.7</t>
  </si>
  <si>
    <t>1.3</t>
  </si>
  <si>
    <t>1.4</t>
  </si>
  <si>
    <t>1.5</t>
  </si>
  <si>
    <t>1.6</t>
  </si>
  <si>
    <t>1.8</t>
  </si>
  <si>
    <t>Забезпечити серомоніторинг ефективності ЗПТ шляхом тестування швидкими тестами на ВІЛ-інфекцію ВІЛ-негативних пацієнтів</t>
  </si>
  <si>
    <t>1.9</t>
  </si>
  <si>
    <t xml:space="preserve">охоплення вагітних жінок обстеженням на ВІЛ-інфекцію </t>
  </si>
  <si>
    <t>забезпечення адаптованими молочними сумішами для дітей першого року життя, народжених ВІЛ-інфікованими матерями</t>
  </si>
  <si>
    <t>забезпечення антиретровірусними препаратами для профілактики передачі ВІЛ-інфекції від матері до дитини</t>
  </si>
  <si>
    <t>1.10</t>
  </si>
  <si>
    <t>Розвиток людських ресурсів: Забезпечити навчання соціальних працівників та волонтерів НУО, психологів, інших співробітників залучених до надання комплексних профілактичних послуг ГПР щодо інфікування ВІЛ</t>
  </si>
  <si>
    <t>Охоплення населення послугами з тестування на ВІЛ (ПТВ), насамперед представників ГПР щодо інфікування ВІЛ</t>
  </si>
  <si>
    <t>2</t>
  </si>
  <si>
    <t>Забезпечити доступне та ефективне тестування населення на ВІЛ із застосуванням швидких тестів та тест-систем ІФА</t>
  </si>
  <si>
    <t>2.1</t>
  </si>
  <si>
    <t>2.2</t>
  </si>
  <si>
    <t>Забезпечити у ЗОЗ реєстрацію та лабораторне підтвердження випадку ВІЛ-інфекції за місцем його виявлення (за принципом «тестуй та реєструй»)</t>
  </si>
  <si>
    <t>2.3</t>
  </si>
  <si>
    <t>Запровадити та забезпечити в усіх закладах охорони здоров’я первинної та вторинної ланки медичної допомоги проведення міського дня тестування  на ВІЛ-інфекцію (щомісяця)</t>
  </si>
  <si>
    <t>2.4</t>
  </si>
  <si>
    <t xml:space="preserve">Забезпечити створення 4-х  кабінетів інтегрованої допомоги ГПР </t>
  </si>
  <si>
    <t>2.5</t>
  </si>
  <si>
    <t>Департамент охорони здоров’я, НУО</t>
  </si>
  <si>
    <t>Забезпечити високий рівень результативності профілактичної роботи громадських організацій в частині виявлення ВІЛ серед осіб, що належать до ГПР :</t>
  </si>
  <si>
    <t>2.6</t>
  </si>
  <si>
    <t xml:space="preserve">Управління охорони здоров’я районних в місті Києві державних адміністрацій, НУО </t>
  </si>
  <si>
    <t>тестування на ВІЛ-інфекцію із застосуванням двох швидких тестів та оптимізації аутріч-маршрутів, маршрутів мобільних амбулаторій</t>
  </si>
  <si>
    <t>участі медичних працівників у ПТВ на базі громадських центрів та мобільних амбулаторій неурядових організацій</t>
  </si>
  <si>
    <t>залучення до тестування на ВІЛ, зокрема залучення ЧСЧ, через мережу Інтернет</t>
  </si>
  <si>
    <t>Забезпечити проведення на регулярній основі програм зовнішньої оцінки якості досліджень з використанням швидких тестів</t>
  </si>
  <si>
    <t>2.7</t>
  </si>
  <si>
    <t>Забезпечити навчання лікарів та медичних сестер навичкам послуг з тестування на ВІЛ із застосуванням швидких тестів та критеріям визначення осіб, яких необхідно залучати до тестування у першу чергу, для застосування на базі:</t>
  </si>
  <si>
    <t>2.8</t>
  </si>
  <si>
    <t>Департамент охорони здоров’я, Управління охорони здоров’я районних в місті Києві державних адміністрацій</t>
  </si>
  <si>
    <t>закладів охорони здоров’я ПМСД</t>
  </si>
  <si>
    <t>закладів охорони здоров’я вторинного рівня</t>
  </si>
  <si>
    <t xml:space="preserve">Залучення до системи медичного нагляду людей, які живуть з ВІЛ  </t>
  </si>
  <si>
    <t>3</t>
  </si>
  <si>
    <t>Запровадити ефективну систему залучення до системи медичного нагляду осіб, у разі виявлення у них ВІЛ-інфекції при зверненні за медичною допомогою та при тестування на базі громадських організацій шляхом:</t>
  </si>
  <si>
    <t>3.1</t>
  </si>
  <si>
    <t>проведення підтверджуючих досліджень у разі отримання позитивного результату тестування на ВІЛ</t>
  </si>
  <si>
    <t>взяття на диспансерний облік безпосередньо під час перебування на стаціонарному лікуванні у ЗОЗ м. Києва</t>
  </si>
  <si>
    <t xml:space="preserve">Департамент охорони здоров’я, Управління охорони здоров’я районних в місті Києві державних </t>
  </si>
  <si>
    <t>налагодження медичного нагляду з приводу ВІЛ-інфекції лікарем-інфекціоністом за місцем проживання (у т.ч. на базі КІЗ)</t>
  </si>
  <si>
    <t>забезпечення супроводу соціальними працівниками НУО представників груп підвищеного ризику щодо інфікування ВІЛ (у разі виявлення у них ВІЛ-інфекції) до закладів охорони здоров’я, які надають медичну допомогу у зв’язку із ВІЛ-інфекцією</t>
  </si>
  <si>
    <t>скорочення термінів взяття ЛЖВ при зверненні для взяття під медичний нагляд</t>
  </si>
  <si>
    <t>Забезпечити діагностику опортуністичних інфекцій у ЛЖВ, які взяті під медичний нагляд у зв’язку із ВІЛ-інфекцією</t>
  </si>
  <si>
    <t>3.2</t>
  </si>
  <si>
    <t>Забезпечити клініко-лабораторне обстеження ЛЖВ при взятті під медичний нагляд у зв’язку із ВІЛ-інфекцією у Київському міському центрі профілактики та боротьби зі СНІДом у тому числі:</t>
  </si>
  <si>
    <t>3.3</t>
  </si>
  <si>
    <t>загально діагностичні дослідження та визначення маркерів гепатитів та сифілісу, з них:</t>
  </si>
  <si>
    <t>діагностикою вірусних гепатитів В і C</t>
  </si>
  <si>
    <t xml:space="preserve">діагностикою сифілісу </t>
  </si>
  <si>
    <t>проведення гематологічних і біохімічних досліджень</t>
  </si>
  <si>
    <t>визначення CD4</t>
  </si>
  <si>
    <t>вакуумні систем для забору крові (вакутайнерів)</t>
  </si>
  <si>
    <t>3.4</t>
  </si>
  <si>
    <t>Забезпечити профілактику та лікування опортуністичних інфекцій у ЛЖВ з них:</t>
  </si>
  <si>
    <t>профілактика туберкульозу</t>
  </si>
  <si>
    <t>профілактика пневмоцистної пневмонії</t>
  </si>
  <si>
    <t>профілактика криптококозу</t>
  </si>
  <si>
    <t>профілактика атипових мікобактеріозів</t>
  </si>
  <si>
    <t>лікування опортуністичних інфекцій</t>
  </si>
  <si>
    <t>Забезпечити навчання лікарів-інфекціоністів закладів охорони здоров’я вторинного рівня надання медичної допомоги з питань діагностики та лікування ВІЛ-інфекції/СНІДу</t>
  </si>
  <si>
    <t>3.5</t>
  </si>
  <si>
    <t>Охоплення людей, які живуть з ВІЛ, антиретровірусною терапією</t>
  </si>
  <si>
    <t>4</t>
  </si>
  <si>
    <t>Прискорити розширення доступу ЛЖВ до антиретровірусного лікування шляхом:</t>
  </si>
  <si>
    <t>продовження та залучення до АРТ пацієнтів, які перебувають під медичним наглядом в Київському міському центрі профілактики та боротьби зі СНІДом, до лікування  та забезпечити доступ до АРВП другого та третього ряду за наявності клініко-лабораторних показань</t>
  </si>
  <si>
    <t>4.1</t>
  </si>
  <si>
    <t>призначення антиретровірусних препаратів (базових схем І ряду) лікарями-інфекціоністами за місцем проживання пацієнта</t>
  </si>
  <si>
    <t>децентралізації призначення та видачі антиретровірусних препаратів лікарями-інфекціоністами за місцем проживання пацієнта</t>
  </si>
  <si>
    <t xml:space="preserve">наближення послуг диспансерного спостереження ЛЖВ до місця проживання (координація лікування ВІЛ/СНІД та методичний супровід децентралізації АРТ лікарем-інфекціоністом Київського міського центру профілактики та боротьби зі СНІДом, який закріплений за окремим районом міста) </t>
  </si>
  <si>
    <t>Оптимізувати процес видачі антиретровірусних препаратів (далі - АРВП) шляхом:</t>
  </si>
  <si>
    <t>4.2</t>
  </si>
  <si>
    <t>запровадження рецептурної безкоштовної видачі антиретровірусних препаратів через аптечну мережу; визначення механізму моніторингу руху АРВП при видачі через аптеки з урахуванням різних джерел фінансування</t>
  </si>
  <si>
    <t>Забезпечити навчання лікарів-інфекціоністів та лікарів інших спеціальностей, які залучені до надання медичної допомоги ЛЖВ, з питань:</t>
  </si>
  <si>
    <t>4.3</t>
  </si>
  <si>
    <t xml:space="preserve">антиретровірусної терапії </t>
  </si>
  <si>
    <t>профілактики, діагностики та лікування опортуністичних інфекцій у ЛЖВ</t>
  </si>
  <si>
    <t>діагностики та лікування ко-інфекцій у ЛЖВ (ВІЛ, вірусного гепатиту В і С, туберкульозу)</t>
  </si>
  <si>
    <t xml:space="preserve">Забезпечити стажування на базі Київського міського центру профілактики та  боротьби зі СНІДом лікарів-інфекціоністів, які залучаються до надання медичної допомоги людям, які живуть з ВІЛ </t>
  </si>
  <si>
    <t>4.4</t>
  </si>
  <si>
    <t>Забезпечити постійне підвищення кваліфікації з питань ВІЛ/СНІДу лікарів, які надають спеціалізовану допомогу ЛЖВ</t>
  </si>
  <si>
    <t>4.5</t>
  </si>
  <si>
    <t>Забезпечити соціальний супровід ЛЖВ (насамперед представників груп підвищеного ризику щодо інфікування ВІЛ) силами НУО та Київського міського центру соціальних служб для дітей, сім’ї і молоді)</t>
  </si>
  <si>
    <t>4.6</t>
  </si>
  <si>
    <t xml:space="preserve">Київський  міський центр соціальних служб для дітей, сім’ї і молоді, НУО </t>
  </si>
  <si>
    <t>Досягнення високої ефективності лікування у людей, які живуть з ВІЛ та отримують антиретровірусну терапію</t>
  </si>
  <si>
    <t>5</t>
  </si>
  <si>
    <t>Забезпечити клініко-лабораторний моніторинг та оцінку ефективності АРТ (згідно клінічного протоколу)</t>
  </si>
  <si>
    <t>5.1</t>
  </si>
  <si>
    <t>Запровадити систему диференційованого підходу до соціального супроводу ЛЖВ, які готуються або отримують АРТ для досягнення високого рівня прихильності силами НУО та Київського міського центру соціальних служб для дітей, сім’ї і молоді</t>
  </si>
  <si>
    <t>5.2</t>
  </si>
  <si>
    <t>Розвиток людських ресурсів: Забезпечити підвищення кваліфікації медичних працівників, залучених до надання медичної допомоги ЛЖВ шляхом стажування у провідних практиках міжнародних партнерів</t>
  </si>
  <si>
    <t>5.3</t>
  </si>
  <si>
    <t xml:space="preserve">Адміністрування та моніторинг виконання заходів Програми за стратегією Fast-Track </t>
  </si>
  <si>
    <t>6</t>
  </si>
  <si>
    <t xml:space="preserve">Створити та забезпечити діяльність групи з впровадження стратегії Fast-Track Cities у м. Києві </t>
  </si>
  <si>
    <t>6.1</t>
  </si>
  <si>
    <t>Виконавчий орган Київської міської ради (Київська міська державна адміністрація )</t>
  </si>
  <si>
    <t xml:space="preserve">Забезпечити розробку та затвердження регулюючих нормативних актів щодо:
децентралізації медичної допомоги людям, які живуть з ВІЛ
</t>
  </si>
  <si>
    <t>6.2</t>
  </si>
  <si>
    <t>затвердження регіональних та локальних протоколів надання медичної допомоги людям, які живуть з ВІЛ</t>
  </si>
  <si>
    <t>оптимізації маршруту пацієнта з ВІЛ</t>
  </si>
  <si>
    <t xml:space="preserve">моніторингу ефективності та оцінки якості медичних послуг людям, які живуть з ВІЛ у закладах охорони здоров’я </t>
  </si>
  <si>
    <t>створення у кожному адміністративному районі міста локальної команди з покращення якості надання послуг людям, які живуть з ВІЛ</t>
  </si>
  <si>
    <t>Департамент охорони здоров’я, Районні у місті Києві державні адміністрації</t>
  </si>
  <si>
    <t>Забезпечити координацію проектів донорської і технічної допомоги в рамках Програми (аналіз прогалин, визначення пріоритетів донорської допомоги, розрахунок потреби, оцінка ефективності пілотних проектів)</t>
  </si>
  <si>
    <t>6.3</t>
  </si>
  <si>
    <t xml:space="preserve">Київська міська координаційна рада
з питань протидії туберкульозу та ВІЛ-інфекції, група з впровадження стратегії Fast-Track Cities у  м. Києві
</t>
  </si>
  <si>
    <t>Забезпечити постійний моніторинг та експертну оцінку реалізації програми за стратегією Fast-Track Cities за участю міжнародних та національних експертів, у т.ч. шляхом підготовки:</t>
  </si>
  <si>
    <t>6.4</t>
  </si>
  <si>
    <t>Міський та районні плани моніторингу програми щодо досягнення цілей стратегії Fast-Track Cities у м. Києві</t>
  </si>
  <si>
    <t>Річні звіти  щодо досягнення цілей стратегії Fast-Track Cities у м. Києві</t>
  </si>
  <si>
    <t>Експертна оцінка досягнення цілей стратегії Fast-Track Cities у м. Києві</t>
  </si>
  <si>
    <t>Міжнародні та національні експерти, група з впровадження стратегії Fast-Track Cities у  м. Києві</t>
  </si>
  <si>
    <t>профілактика опортуністичних інфекцій у ЛЖВ, з них</t>
  </si>
  <si>
    <t>2.</t>
  </si>
  <si>
    <t>3.</t>
  </si>
  <si>
    <t>Інформація про виконання за перше півріччя 2017 року Міської цільової програми протидії епідемії  ВІЛ-інфекції на 2017-2021 роки</t>
  </si>
  <si>
    <t>Звіт</t>
  </si>
  <si>
    <t>Результативні показники</t>
  </si>
  <si>
    <t>Значення  показника</t>
  </si>
  <si>
    <t>Відхилення (зі знаком "+" або "-")</t>
  </si>
  <si>
    <t>Фактичне значення показника до планового (%)</t>
  </si>
  <si>
    <t>Причини невиконання показника</t>
  </si>
  <si>
    <t>планове</t>
  </si>
  <si>
    <t>фактичне</t>
  </si>
  <si>
    <t>Забезпечити групи підвищеного ризику щодо інфікування ВІЛ (далі – ГПР) комплексним пакетом послуг з метою запобігання нових випадків інфікування у т.ч. за стратегією «зменшення шкоди», зокрема:
- людей, які вживають ін'єкційні наркотики (далі - ЛВІН);</t>
  </si>
  <si>
    <r>
      <t xml:space="preserve">Показник затрат, </t>
    </r>
    <r>
      <rPr>
        <sz val="12"/>
        <rFont val="Times New Roman"/>
        <family val="1"/>
        <charset val="204"/>
      </rPr>
      <t>тис. грн.</t>
    </r>
  </si>
  <si>
    <r>
      <t>Показник продукту:</t>
    </r>
    <r>
      <rPr>
        <sz val="12"/>
        <color indexed="8"/>
        <rFont val="Times New Roman"/>
        <family val="1"/>
        <charset val="204"/>
      </rPr>
      <t xml:space="preserve"> кількість ЛВІН, які отримали послуги з профілактики ВІЛ</t>
    </r>
  </si>
  <si>
    <r>
      <t xml:space="preserve">Показник ефективності: </t>
    </r>
    <r>
      <rPr>
        <sz val="12"/>
        <color indexed="8"/>
        <rFont val="Times New Roman"/>
        <family val="1"/>
        <charset val="204"/>
      </rPr>
      <t>вартість комплексного пакету послуг на одного представника групи ЛВІН на рік, тис. грн.</t>
    </r>
  </si>
  <si>
    <r>
      <t>Показник якості:</t>
    </r>
    <r>
      <rPr>
        <i/>
        <sz val="12"/>
        <color indexed="8"/>
        <rFont val="Times New Roman"/>
        <family val="1"/>
        <charset val="204"/>
      </rPr>
      <t xml:space="preserve"> </t>
    </r>
    <r>
      <rPr>
        <sz val="12"/>
        <color indexed="8"/>
        <rFont val="Times New Roman"/>
        <family val="1"/>
        <charset val="204"/>
      </rPr>
      <t>динаміка</t>
    </r>
    <r>
      <rPr>
        <i/>
        <sz val="12"/>
        <color indexed="8"/>
        <rFont val="Times New Roman"/>
        <family val="1"/>
        <charset val="204"/>
      </rPr>
      <t xml:space="preserve"> </t>
    </r>
    <r>
      <rPr>
        <sz val="12"/>
        <color indexed="8"/>
        <rFont val="Times New Roman"/>
        <family val="1"/>
        <charset val="204"/>
      </rPr>
      <t>частки ЛВІН, які охоплені послугами з профілактики ВІЛ відносно базового показника – 50% від оціночної чисельності (%)</t>
    </r>
  </si>
  <si>
    <t>- чоловіків, які мають сексуальні стосунки із чоловіками (далі - ЧСЧ);</t>
  </si>
  <si>
    <r>
      <t>Показник продукту:</t>
    </r>
    <r>
      <rPr>
        <sz val="12"/>
        <color indexed="8"/>
        <rFont val="Times New Roman"/>
        <family val="1"/>
        <charset val="204"/>
      </rPr>
      <t xml:space="preserve"> кількість ЧСЧ, які отримали послуги з профілактики ВІЛ</t>
    </r>
  </si>
  <si>
    <r>
      <t xml:space="preserve">Показник ефективності: </t>
    </r>
    <r>
      <rPr>
        <sz val="12"/>
        <color indexed="8"/>
        <rFont val="Times New Roman"/>
        <family val="1"/>
        <charset val="204"/>
      </rPr>
      <t>вартість комплексного пакету послуг на одного представника групи ЧСЧ на рік, тис. грн.</t>
    </r>
  </si>
  <si>
    <r>
      <t>Показник якості:</t>
    </r>
    <r>
      <rPr>
        <i/>
        <sz val="12"/>
        <color indexed="8"/>
        <rFont val="Times New Roman"/>
        <family val="1"/>
        <charset val="204"/>
      </rPr>
      <t xml:space="preserve"> </t>
    </r>
    <r>
      <rPr>
        <sz val="12"/>
        <color indexed="8"/>
        <rFont val="Times New Roman"/>
        <family val="1"/>
        <charset val="204"/>
      </rPr>
      <t>динаміка</t>
    </r>
    <r>
      <rPr>
        <i/>
        <sz val="12"/>
        <color indexed="8"/>
        <rFont val="Times New Roman"/>
        <family val="1"/>
        <charset val="204"/>
      </rPr>
      <t xml:space="preserve"> </t>
    </r>
    <r>
      <rPr>
        <sz val="12"/>
        <color indexed="8"/>
        <rFont val="Times New Roman"/>
        <family val="1"/>
        <charset val="204"/>
      </rPr>
      <t>частки ЧСЧ, які охоплені послугами з профілактики ВІЛ відносно базового показника – 58% від оціночної чисельності (%)</t>
    </r>
  </si>
  <si>
    <r>
      <t>Показник продукту:</t>
    </r>
    <r>
      <rPr>
        <sz val="12"/>
        <rFont val="Times New Roman"/>
        <family val="1"/>
        <charset val="204"/>
      </rPr>
      <t xml:space="preserve"> кількість РКС, які отримали послуги з профілактики ВІЛ</t>
    </r>
  </si>
  <si>
    <r>
      <t xml:space="preserve">Показник ефективності: </t>
    </r>
    <r>
      <rPr>
        <sz val="12"/>
        <rFont val="Times New Roman"/>
        <family val="1"/>
        <charset val="204"/>
      </rPr>
      <t>вартість комплексного пакету послуг на одного представника групи РКС на рік, тис. грн.</t>
    </r>
  </si>
  <si>
    <r>
      <t>Показник якості:</t>
    </r>
    <r>
      <rPr>
        <sz val="12"/>
        <rFont val="Times New Roman"/>
        <family val="1"/>
        <charset val="204"/>
      </rPr>
      <t xml:space="preserve"> динаміка</t>
    </r>
    <r>
      <rPr>
        <i/>
        <sz val="12"/>
        <rFont val="Times New Roman"/>
        <family val="1"/>
        <charset val="204"/>
      </rPr>
      <t xml:space="preserve"> </t>
    </r>
    <r>
      <rPr>
        <sz val="12"/>
        <rFont val="Times New Roman"/>
        <family val="1"/>
        <charset val="204"/>
      </rPr>
      <t>частки РКС, які охоплені послугами з профілактики ВІЛ відносно базового показника – 56% від оціночної чисельності (%)</t>
    </r>
  </si>
  <si>
    <r>
      <t xml:space="preserve">Показник продукту: </t>
    </r>
    <r>
      <rPr>
        <sz val="12"/>
        <rFont val="Times New Roman"/>
        <family val="1"/>
        <charset val="204"/>
      </rPr>
      <t>забезпечення функціонування мобільних амбулаторій, автомобіль</t>
    </r>
  </si>
  <si>
    <r>
      <t xml:space="preserve">Показник ефективності: </t>
    </r>
    <r>
      <rPr>
        <sz val="12"/>
        <rFont val="Times New Roman"/>
        <family val="1"/>
        <charset val="204"/>
      </rPr>
      <t>вартість забезпечення діяльності 1 мобільної амбулаторії на рік, тис. грн.</t>
    </r>
  </si>
  <si>
    <r>
      <t xml:space="preserve">Показник якості: </t>
    </r>
    <r>
      <rPr>
        <sz val="12"/>
        <rFont val="Times New Roman"/>
        <family val="1"/>
        <charset val="204"/>
      </rPr>
      <t>відсоток представників ГПР, які мають доступ до послуг мобільної амбулаторії</t>
    </r>
    <r>
      <rPr>
        <b/>
        <sz val="12"/>
        <rFont val="Times New Roman"/>
        <family val="1"/>
        <charset val="204"/>
      </rPr>
      <t xml:space="preserve"> </t>
    </r>
    <r>
      <rPr>
        <sz val="12"/>
        <rFont val="Times New Roman"/>
        <family val="1"/>
        <charset val="204"/>
      </rPr>
      <t>відносно базового 35% (%)</t>
    </r>
  </si>
  <si>
    <r>
      <t>Показник продукту:</t>
    </r>
    <r>
      <rPr>
        <sz val="12"/>
        <rFont val="Times New Roman"/>
        <family val="1"/>
        <charset val="204"/>
      </rPr>
      <t xml:space="preserve"> кількість лікарів закладів охорони здоров’я ПМСД, які впродовж року пройшли навчання з питань застосування у практиці навичок з ПТВ</t>
    </r>
  </si>
  <si>
    <r>
      <t>Показник якості:</t>
    </r>
    <r>
      <rPr>
        <i/>
        <sz val="12"/>
        <rFont val="Times New Roman"/>
        <family val="1"/>
        <charset val="204"/>
      </rPr>
      <t xml:space="preserve"> </t>
    </r>
    <r>
      <rPr>
        <sz val="12"/>
        <rFont val="Times New Roman"/>
        <family val="1"/>
        <charset val="204"/>
      </rPr>
      <t xml:space="preserve">динаміка відсотка лікарів, які пройшли навчання з консультування і тестування на ВІЛ, і надають таки послуги на робочому місці. Базовий рівень – менше 1%. </t>
    </r>
  </si>
  <si>
    <r>
      <t xml:space="preserve">Показник продукту: </t>
    </r>
    <r>
      <rPr>
        <sz val="12"/>
        <rFont val="Times New Roman"/>
        <family val="1"/>
        <charset val="204"/>
      </rPr>
      <t>кількість закладів охорони здоров’я вторинного рівня, лікарі яких мають навички з ПТВ</t>
    </r>
  </si>
  <si>
    <r>
      <t xml:space="preserve">Показник якості: </t>
    </r>
    <r>
      <rPr>
        <sz val="12"/>
        <rFont val="Times New Roman"/>
        <family val="1"/>
        <charset val="204"/>
      </rPr>
      <t>динаміка відсотка закладів охорони здоров’я вторинного рівня, лікарі яких мають навички з ПТВ</t>
    </r>
  </si>
  <si>
    <r>
      <t>Показник продукту:</t>
    </r>
    <r>
      <rPr>
        <sz val="12"/>
        <color indexed="8"/>
        <rFont val="Times New Roman"/>
        <family val="1"/>
        <charset val="204"/>
      </rPr>
      <t xml:space="preserve"> загальна чисельність людей з ВІЛ, які залучені до системи медичного спостереження</t>
    </r>
  </si>
  <si>
    <r>
      <t xml:space="preserve">Показник якості: </t>
    </r>
    <r>
      <rPr>
        <sz val="12"/>
        <color indexed="8"/>
        <rFont val="Times New Roman"/>
        <family val="1"/>
        <charset val="204"/>
      </rPr>
      <t xml:space="preserve">динаміка частки ЛЖВ від оціночної чисельності ЛЖВ, які знають свій ВІЛ-статус та залучені до системи медичного спостереження, відносно базового рівня - 47% </t>
    </r>
  </si>
  <si>
    <r>
      <t>Показники продукту:</t>
    </r>
    <r>
      <rPr>
        <sz val="12"/>
        <rFont val="Times New Roman"/>
        <family val="1"/>
        <charset val="204"/>
      </rPr>
      <t xml:space="preserve"> кількість ЛЖВ з числа ГПР, які звернулися за отриманням допомоги</t>
    </r>
  </si>
  <si>
    <r>
      <t xml:space="preserve">Показник ефективності: </t>
    </r>
    <r>
      <rPr>
        <sz val="12"/>
        <rFont val="Times New Roman"/>
        <family val="1"/>
        <charset val="204"/>
      </rPr>
      <t>вартість витрат на супровід ЛЖВ до закладу медичного здоров’я</t>
    </r>
    <r>
      <rPr>
        <b/>
        <sz val="12"/>
        <rFont val="Times New Roman"/>
        <family val="1"/>
        <charset val="204"/>
      </rPr>
      <t xml:space="preserve">  </t>
    </r>
  </si>
  <si>
    <r>
      <t xml:space="preserve">Показники якості: </t>
    </r>
    <r>
      <rPr>
        <sz val="12"/>
        <rFont val="Times New Roman"/>
        <family val="1"/>
        <charset val="204"/>
      </rPr>
      <t>динаміка</t>
    </r>
    <r>
      <rPr>
        <b/>
        <sz val="12"/>
        <rFont val="Times New Roman"/>
        <family val="1"/>
        <charset val="204"/>
      </rPr>
      <t xml:space="preserve"> </t>
    </r>
    <r>
      <rPr>
        <sz val="12"/>
        <rFont val="Times New Roman"/>
        <family val="1"/>
        <charset val="204"/>
      </rPr>
      <t>частки ЛЖВ з числа груп підвищеного ризику щодо інфікування ВІЛ, яких охоплено медичним спостереженням, з числа  осіб, які звернулися до закладу за направленням НУО. Базовий показник 60%.</t>
    </r>
  </si>
  <si>
    <r>
      <t xml:space="preserve">Показники продукту: </t>
    </r>
    <r>
      <rPr>
        <sz val="12"/>
        <rFont val="Times New Roman"/>
        <family val="1"/>
        <charset val="204"/>
      </rPr>
      <t>кількість ЛЖВ, яких було взято під медичний нагляд у день первинного звернення з приводу діагностованої ВІЛ-інфекції.</t>
    </r>
  </si>
  <si>
    <r>
      <t xml:space="preserve">Показники якості: </t>
    </r>
    <r>
      <rPr>
        <sz val="12"/>
        <rFont val="Times New Roman"/>
        <family val="1"/>
        <charset val="204"/>
      </rPr>
      <t>динаміка частки осіб, яких було взято під медичний нагляд у день первинного звернення з приводу діагностованої ВІЛ-інфекції. Базовий показник – 5%</t>
    </r>
  </si>
  <si>
    <r>
      <t xml:space="preserve">Показники продукту: </t>
    </r>
    <r>
      <rPr>
        <sz val="12"/>
        <rFont val="Times New Roman"/>
        <family val="1"/>
        <charset val="204"/>
      </rPr>
      <t>чисельність ЛЖВ, яким призначено АРТ, осіб</t>
    </r>
  </si>
  <si>
    <r>
      <t xml:space="preserve">Показник ефективності: </t>
    </r>
    <r>
      <rPr>
        <sz val="12"/>
        <rFont val="Times New Roman"/>
        <family val="1"/>
        <charset val="204"/>
      </rPr>
      <t>середня вартість річного курсу АРТ для одного ЛЖВ, тис. грн.</t>
    </r>
  </si>
  <si>
    <r>
      <t xml:space="preserve">Показник якості: </t>
    </r>
    <r>
      <rPr>
        <sz val="12"/>
        <rFont val="Times New Roman"/>
        <family val="1"/>
        <charset val="204"/>
      </rPr>
      <t>динаміка показника охоплення антиретровірусною терапією ЛЖВ, які знають свій ВІЛ-статус та охоплені медичним спостереженням, відносно базового показника 60,7%</t>
    </r>
  </si>
  <si>
    <r>
      <t xml:space="preserve">Показники продукту: </t>
    </r>
    <r>
      <rPr>
        <sz val="12"/>
        <rFont val="Times New Roman"/>
        <family val="1"/>
        <charset val="204"/>
      </rPr>
      <t>число ЛЖВ, які отримують АРТ за місцем проживання, осіб</t>
    </r>
  </si>
  <si>
    <r>
      <t>Показник якості:</t>
    </r>
    <r>
      <rPr>
        <sz val="12"/>
        <rFont val="Times New Roman"/>
        <family val="1"/>
        <charset val="204"/>
      </rPr>
      <t xml:space="preserve"> динаміка частки ЛЖВ, які отримують препарати АРТ за місцем проживання. Базовий рівень показника – 40%</t>
    </r>
  </si>
  <si>
    <r>
      <t xml:space="preserve">Показник продукту: </t>
    </r>
    <r>
      <rPr>
        <sz val="12"/>
        <rFont val="Times New Roman"/>
        <family val="1"/>
        <charset val="204"/>
      </rPr>
      <t>кількість лікарів-інфекціоністів, які до надання медичної допомоги людям, які живуть з ВІЛ та пройшли стажування, осіб</t>
    </r>
  </si>
  <si>
    <r>
      <t>Показник якості:</t>
    </r>
    <r>
      <rPr>
        <sz val="12"/>
        <rFont val="Times New Roman"/>
        <family val="1"/>
        <charset val="204"/>
      </rPr>
      <t xml:space="preserve"> досягнення і утримання рівня охоплення лікарів, які долучаються до надання медичної допомоги ЛЖВ,  стажуванням з питань діагностики та лікування ВІЛ/СНІД. Базовий рівень – 0%</t>
    </r>
  </si>
  <si>
    <r>
      <t>Показник якості:</t>
    </r>
    <r>
      <rPr>
        <sz val="12"/>
        <rFont val="Times New Roman"/>
        <family val="1"/>
        <charset val="204"/>
      </rPr>
      <t xml:space="preserve"> частка лікарів, які підвищили кваліфікацію з питань ВІЛ/СНІДу впродовж року</t>
    </r>
  </si>
  <si>
    <r>
      <t xml:space="preserve">Показник продукту: </t>
    </r>
    <r>
      <rPr>
        <sz val="12"/>
        <rFont val="Times New Roman"/>
        <family val="1"/>
        <charset val="204"/>
      </rPr>
      <t>кількість, які отримують соціальний супровід</t>
    </r>
  </si>
  <si>
    <r>
      <t xml:space="preserve">Показник ефективності: </t>
    </r>
    <r>
      <rPr>
        <sz val="12"/>
        <rFont val="Times New Roman"/>
        <family val="1"/>
        <charset val="204"/>
      </rPr>
      <t>річна вартість соціального супроводу однієї особи ЛЖВ, тис. грн.</t>
    </r>
  </si>
  <si>
    <r>
      <t>Показник якості:</t>
    </r>
    <r>
      <rPr>
        <sz val="12"/>
        <rFont val="Times New Roman"/>
        <family val="1"/>
        <charset val="204"/>
      </rPr>
      <t xml:space="preserve"> динаміка показника охоплення ЛЖВ, які перебувають під медичним спостереженням, соціальним супроводом відносно базового рівня – 44%</t>
    </r>
  </si>
  <si>
    <r>
      <t>Показник продукту:</t>
    </r>
    <r>
      <rPr>
        <sz val="12"/>
        <rFont val="Times New Roman"/>
        <family val="1"/>
        <charset val="204"/>
      </rPr>
      <t xml:space="preserve"> кількість ЛЖВ з числа нових випадків серед осіб груп підвищеного ризику щодо інфікування ВІЛ, які охоплені соціальним супроводом для досягнення прихильності до АРТ</t>
    </r>
  </si>
  <si>
    <r>
      <t>Показник якості:</t>
    </r>
    <r>
      <rPr>
        <sz val="12"/>
        <rFont val="Times New Roman"/>
        <family val="1"/>
        <charset val="204"/>
      </rPr>
      <t xml:space="preserve"> динаміка частки ЛЖВ, які утримуються на лікуванні впродовж 12 місяців від початку лікування. Базовий рівень – 85%</t>
    </r>
  </si>
  <si>
    <r>
      <t xml:space="preserve">Показник продукту: </t>
    </r>
    <r>
      <rPr>
        <sz val="12"/>
        <rFont val="Times New Roman"/>
        <family val="1"/>
        <charset val="204"/>
      </rPr>
      <t>кількість розроблених нормативних актів, проектів рішень</t>
    </r>
    <r>
      <rPr>
        <b/>
        <sz val="12"/>
        <rFont val="Times New Roman"/>
        <family val="1"/>
        <charset val="204"/>
      </rPr>
      <t xml:space="preserve"> </t>
    </r>
  </si>
  <si>
    <r>
      <t xml:space="preserve">Показник ефективності: </t>
    </r>
    <r>
      <rPr>
        <sz val="12"/>
        <rFont val="Times New Roman"/>
        <family val="1"/>
        <charset val="204"/>
      </rPr>
      <t>відсоток прийнятих до виконання нормативних актів або рішень від розроблених</t>
    </r>
  </si>
  <si>
    <r>
      <t xml:space="preserve">Показник якості: </t>
    </r>
    <r>
      <rPr>
        <sz val="12"/>
        <rFont val="Times New Roman"/>
        <family val="1"/>
        <charset val="204"/>
      </rPr>
      <t>динаміка відсотка прийнятих до виконання нормативних актів або рішень порівняно з попереднім роком</t>
    </r>
  </si>
  <si>
    <t>Інформація про виконання програми за І півріччя 2017 року</t>
  </si>
  <si>
    <t>Показники продукту:</t>
  </si>
  <si>
    <t xml:space="preserve">кількість виявлених випадків ВІЛ-інфекції  </t>
  </si>
  <si>
    <t>кількість людей, які обстежені на ВІЛ-інфекцію</t>
  </si>
  <si>
    <t>профілактику туберкульозу</t>
  </si>
  <si>
    <t>профілактику пневмоцистної пневмонії</t>
  </si>
  <si>
    <t>профілактику криптококозу</t>
  </si>
  <si>
    <t>профілактику атипових мікобактеріозів</t>
  </si>
  <si>
    <t>в т.ч. за рахунок коштів місцевого бюджету, тис. грн.</t>
  </si>
  <si>
    <r>
      <t xml:space="preserve">Показник продукту:  </t>
    </r>
    <r>
      <rPr>
        <sz val="12"/>
        <rFont val="Times New Roman"/>
        <family val="1"/>
        <charset val="204"/>
      </rPr>
      <t>Кількість лікарів, які взяли участь у заходах з підвищення кваліфікації з питань ВІЛ/СНІДу, осіб</t>
    </r>
  </si>
  <si>
    <t>1.2.</t>
  </si>
  <si>
    <t>Забезпечити створення та розповсюдження інформаційних матеріалів (соціальної реклами), спрямованої на запобігання поширення ВІЛ серед ГПР</t>
  </si>
  <si>
    <r>
      <t xml:space="preserve">Показник затрат: </t>
    </r>
    <r>
      <rPr>
        <sz val="12"/>
        <color indexed="8"/>
        <rFont val="Times New Roman"/>
        <family val="1"/>
        <charset val="204"/>
      </rPr>
      <t>тис. грн.</t>
    </r>
  </si>
  <si>
    <r>
      <t>Показник продукту:</t>
    </r>
    <r>
      <rPr>
        <sz val="12"/>
        <color indexed="8"/>
        <rFont val="Times New Roman"/>
        <family val="1"/>
        <charset val="204"/>
      </rPr>
      <t xml:space="preserve"> кількість видів рекламної продукції, яка була виготовлена та розміщена, розповсюджена</t>
    </r>
  </si>
  <si>
    <r>
      <t xml:space="preserve">Показник ефективності: </t>
    </r>
    <r>
      <rPr>
        <sz val="12"/>
        <color indexed="8"/>
        <rFont val="Times New Roman"/>
        <family val="1"/>
        <charset val="204"/>
      </rPr>
      <t>середня вартість на рік 1 виду рекламної продукції/інформаційних матеріалів, тис. грн.</t>
    </r>
  </si>
  <si>
    <r>
      <t xml:space="preserve">Показник якості: </t>
    </r>
    <r>
      <rPr>
        <sz val="12"/>
        <color indexed="8"/>
        <rFont val="Times New Roman"/>
        <family val="1"/>
        <charset val="204"/>
      </rPr>
      <t>відсоток охоплення</t>
    </r>
    <r>
      <rPr>
        <b/>
        <sz val="12"/>
        <color indexed="8"/>
        <rFont val="Times New Roman"/>
        <family val="1"/>
        <charset val="204"/>
      </rPr>
      <t xml:space="preserve"> </t>
    </r>
    <r>
      <rPr>
        <sz val="12"/>
        <color indexed="8"/>
        <rFont val="Times New Roman"/>
        <family val="1"/>
        <charset val="204"/>
      </rPr>
      <t>ГПР інформаційними матеріалами</t>
    </r>
    <r>
      <rPr>
        <b/>
        <sz val="12"/>
        <color indexed="8"/>
        <rFont val="Times New Roman"/>
        <family val="1"/>
        <charset val="204"/>
      </rPr>
      <t xml:space="preserve"> з </t>
    </r>
    <r>
      <rPr>
        <sz val="12"/>
        <color indexed="8"/>
        <rFont val="Times New Roman"/>
        <family val="1"/>
        <charset val="204"/>
      </rPr>
      <t>питань запобігання інфікування ВІЛ (%)</t>
    </r>
  </si>
  <si>
    <t>1.3.</t>
  </si>
  <si>
    <r>
      <t>Показник продукту:</t>
    </r>
    <r>
      <rPr>
        <sz val="12"/>
        <color indexed="8"/>
        <rFont val="Times New Roman"/>
        <family val="1"/>
        <charset val="204"/>
      </rPr>
      <t xml:space="preserve"> розробка та впровадження нових заходів направлених на досяжність важкодоступних ГПР, маршрут пацієнта, тощо</t>
    </r>
  </si>
  <si>
    <r>
      <t xml:space="preserve">Показник якості: </t>
    </r>
    <r>
      <rPr>
        <sz val="12"/>
        <color indexed="8"/>
        <rFont val="Times New Roman"/>
        <family val="1"/>
        <charset val="204"/>
      </rPr>
      <t>збільшення частки осіб з числа ГПР у які охоплені профілактичними послугами</t>
    </r>
    <r>
      <rPr>
        <b/>
        <sz val="12"/>
        <color indexed="8"/>
        <rFont val="Times New Roman"/>
        <family val="1"/>
        <charset val="204"/>
      </rPr>
      <t xml:space="preserve"> з </t>
    </r>
    <r>
      <rPr>
        <sz val="12"/>
        <color indexed="8"/>
        <rFont val="Times New Roman"/>
        <family val="1"/>
        <charset val="204"/>
      </rPr>
      <t>питань ВІЛ (%)</t>
    </r>
  </si>
  <si>
    <t>1.5.</t>
  </si>
  <si>
    <r>
      <t xml:space="preserve">Показник затрат, </t>
    </r>
    <r>
      <rPr>
        <sz val="12"/>
        <color indexed="8"/>
        <rFont val="Times New Roman"/>
        <family val="1"/>
        <charset val="204"/>
      </rPr>
      <t>тис. грн.</t>
    </r>
  </si>
  <si>
    <r>
      <t>Показник продукту:</t>
    </r>
    <r>
      <rPr>
        <sz val="12"/>
        <color indexed="8"/>
        <rFont val="Times New Roman"/>
        <family val="1"/>
        <charset val="204"/>
      </rPr>
      <t xml:space="preserve"> кількість ЧСЧ, які отримали преконтактну профілактику  (</t>
    </r>
    <r>
      <rPr>
        <i/>
        <sz val="12"/>
        <color indexed="8"/>
        <rFont val="Times New Roman"/>
        <family val="1"/>
        <charset val="204"/>
      </rPr>
      <t>в рамках пілоту</t>
    </r>
    <r>
      <rPr>
        <sz val="12"/>
        <color indexed="8"/>
        <rFont val="Times New Roman"/>
        <family val="1"/>
        <charset val="204"/>
      </rPr>
      <t>)</t>
    </r>
  </si>
  <si>
    <r>
      <t>Показник ефективності</t>
    </r>
    <r>
      <rPr>
        <sz val="12"/>
        <color indexed="8"/>
        <rFont val="Times New Roman"/>
        <family val="1"/>
        <charset val="204"/>
      </rPr>
      <t>: витрати на проведення 1 курсу преконтактної профілактики, тис. грн.</t>
    </r>
  </si>
  <si>
    <r>
      <t>Показник якості:</t>
    </r>
    <r>
      <rPr>
        <sz val="12"/>
        <color indexed="8"/>
        <rFont val="Times New Roman"/>
        <family val="1"/>
        <charset val="204"/>
      </rPr>
      <t xml:space="preserve"> динаміка</t>
    </r>
    <r>
      <rPr>
        <i/>
        <sz val="12"/>
        <color indexed="8"/>
        <rFont val="Times New Roman"/>
        <family val="1"/>
        <charset val="204"/>
      </rPr>
      <t xml:space="preserve"> </t>
    </r>
    <r>
      <rPr>
        <sz val="12"/>
        <color indexed="8"/>
        <rFont val="Times New Roman"/>
        <family val="1"/>
        <charset val="204"/>
      </rPr>
      <t>зміни частки ЧСЧ, які отримують  преконтактну профілактику  інфікування ВІЛ від оціночної чисельності ЧСЧ, порівняно з базовим рівнем – 0%</t>
    </r>
  </si>
  <si>
    <t>1.6.</t>
  </si>
  <si>
    <r>
      <t xml:space="preserve">Показник продукту: </t>
    </r>
    <r>
      <rPr>
        <sz val="12"/>
        <color indexed="8"/>
        <rFont val="Times New Roman"/>
        <family val="1"/>
        <charset val="204"/>
      </rPr>
      <t>кількість статевих партнерів ЛЖВ, яких було взято під медичне  спостереження</t>
    </r>
  </si>
  <si>
    <r>
      <t xml:space="preserve">Показник ефективності: </t>
    </r>
    <r>
      <rPr>
        <sz val="12"/>
        <color indexed="8"/>
        <rFont val="Times New Roman"/>
        <family val="1"/>
        <charset val="204"/>
      </rPr>
      <t>середній обсяг витрат на забезпечення залучення 1 статевого партнера ЛЖВ до медичного спостереження, тис. грн.</t>
    </r>
  </si>
  <si>
    <r>
      <t>Показник якості:</t>
    </r>
    <r>
      <rPr>
        <sz val="12"/>
        <color indexed="8"/>
        <rFont val="Times New Roman"/>
        <family val="1"/>
        <charset val="204"/>
      </rPr>
      <t xml:space="preserve"> динаміка</t>
    </r>
    <r>
      <rPr>
        <i/>
        <sz val="12"/>
        <color indexed="8"/>
        <rFont val="Times New Roman"/>
        <family val="1"/>
        <charset val="204"/>
      </rPr>
      <t xml:space="preserve"> </t>
    </r>
    <r>
      <rPr>
        <sz val="12"/>
        <color indexed="8"/>
        <rFont val="Times New Roman"/>
        <family val="1"/>
        <charset val="204"/>
      </rPr>
      <t xml:space="preserve">зміни частки статевих партнерів ЛЖВ, яких взято під медичне спостереження у разі   виявлення ВІЛ серед осіб зазначеної категорії, %. Базовий показник – 20% </t>
    </r>
  </si>
  <si>
    <t>1.7.</t>
  </si>
  <si>
    <t>Показник затрат, тис. грн.</t>
  </si>
  <si>
    <r>
      <t>Показник продукту:</t>
    </r>
    <r>
      <rPr>
        <sz val="12"/>
        <color indexed="8"/>
        <rFont val="Times New Roman"/>
        <family val="1"/>
        <charset val="204"/>
      </rPr>
      <t xml:space="preserve"> кількість ЛВІН, які отримують ЗПТ, всього</t>
    </r>
  </si>
  <si>
    <t>впровадження ЗПТ в не спеціалізованих закладах охорони здоров’я (закладах первинної медико-санітарної допомоги, клініко-діагностичних центрах, тощо)</t>
  </si>
  <si>
    <t xml:space="preserve">Забезпечити стійкість програми замісної підтримувальної терапії (ЗПТ) для людей, які вживають ін'єкційні наркотики (ЛВІН) </t>
  </si>
  <si>
    <r>
      <t>Показники якості:</t>
    </r>
    <r>
      <rPr>
        <sz val="12"/>
        <color indexed="8"/>
        <rFont val="Times New Roman"/>
        <family val="1"/>
        <charset val="204"/>
      </rPr>
      <t xml:space="preserve"> динаміка</t>
    </r>
    <r>
      <rPr>
        <i/>
        <sz val="12"/>
        <color indexed="8"/>
        <rFont val="Times New Roman"/>
        <family val="1"/>
        <charset val="204"/>
      </rPr>
      <t xml:space="preserve"> </t>
    </r>
    <r>
      <rPr>
        <sz val="12"/>
        <color indexed="8"/>
        <rFont val="Times New Roman"/>
        <family val="1"/>
        <charset val="204"/>
      </rPr>
      <t>зміни частки ЛВІН, які охоплені ЗПТ від оціночної чисельності ЛВІН, відносно базового показника 2016 року – 2,5%</t>
    </r>
  </si>
  <si>
    <r>
      <t xml:space="preserve">Показники продукту: </t>
    </r>
    <r>
      <rPr>
        <sz val="12"/>
        <color indexed="8"/>
        <rFont val="Times New Roman"/>
        <family val="1"/>
        <charset val="204"/>
      </rPr>
      <t>кількість ЛВІН, які отримують ЗПТ на базі спеціалізованих ЗОЗ</t>
    </r>
  </si>
  <si>
    <r>
      <t xml:space="preserve">Показник ефективності: </t>
    </r>
    <r>
      <rPr>
        <sz val="12"/>
        <color indexed="8"/>
        <rFont val="Times New Roman"/>
        <family val="1"/>
        <charset val="204"/>
      </rPr>
      <t>вартість 1 курсу ЗПТ на рік при отриманні препаратів у спеціалізованих закладах  охорони здоров’я, тис. грн.</t>
    </r>
  </si>
  <si>
    <r>
      <t xml:space="preserve">Показники продукту: </t>
    </r>
    <r>
      <rPr>
        <sz val="12"/>
        <color indexed="8"/>
        <rFont val="Times New Roman"/>
        <family val="1"/>
        <charset val="204"/>
      </rPr>
      <t xml:space="preserve">кількість ЛВІН, які отримують ЗПТ а базі неспеціалізованих ЗОЗ </t>
    </r>
  </si>
  <si>
    <r>
      <t xml:space="preserve">Показник ефективності: </t>
    </r>
    <r>
      <rPr>
        <sz val="12"/>
        <color indexed="8"/>
        <rFont val="Times New Roman"/>
        <family val="1"/>
        <charset val="204"/>
      </rPr>
      <t>вартість 1 курсу ЗПТ на рік при отриманні у неспеціалізованих закладах  охорони здоров’я , тис. грн.</t>
    </r>
  </si>
  <si>
    <t xml:space="preserve">впровадження ЗПТ в спеціалізованих закладах охорони здоров’я </t>
  </si>
  <si>
    <t xml:space="preserve">впровадження ЗПТ в аптечних закладах </t>
  </si>
  <si>
    <r>
      <t xml:space="preserve">Показники продукту: </t>
    </r>
    <r>
      <rPr>
        <sz val="12"/>
        <color indexed="8"/>
        <rFont val="Times New Roman"/>
        <family val="1"/>
        <charset val="204"/>
      </rPr>
      <t>кількість ЛВІН, які отримують ЗПТ</t>
    </r>
  </si>
  <si>
    <r>
      <t xml:space="preserve">Показник ефективності: </t>
    </r>
    <r>
      <rPr>
        <sz val="12"/>
        <color indexed="8"/>
        <rFont val="Times New Roman"/>
        <family val="1"/>
        <charset val="204"/>
      </rPr>
      <t>вартість 1 курсу ЗПТ на рік при отриманні препаратів у аптечних закладах (кошти бюджету м. Києва) , тис. грн.</t>
    </r>
  </si>
  <si>
    <r>
      <t xml:space="preserve">Показник затрат: </t>
    </r>
    <r>
      <rPr>
        <sz val="12"/>
        <color indexed="8"/>
        <rFont val="Times New Roman"/>
        <family val="1"/>
        <charset val="204"/>
      </rPr>
      <t>тис. грн..</t>
    </r>
  </si>
  <si>
    <r>
      <t xml:space="preserve">Показники продукту: </t>
    </r>
    <r>
      <rPr>
        <sz val="12"/>
        <color indexed="8"/>
        <rFont val="Times New Roman"/>
        <family val="1"/>
        <charset val="204"/>
      </rPr>
      <t xml:space="preserve">кількість осіб на ЗПТ, які охоплені тестування на ВІЛ-інфекцію </t>
    </r>
  </si>
  <si>
    <r>
      <t xml:space="preserve">Показник ефективності: </t>
    </r>
    <r>
      <rPr>
        <sz val="12"/>
        <color indexed="8"/>
        <rFont val="Times New Roman"/>
        <family val="1"/>
        <charset val="204"/>
      </rPr>
      <t>вартість 1 тестування на ВІЛ-інфекцію на рік, тис. грн.</t>
    </r>
  </si>
  <si>
    <r>
      <t>Показники якості:</t>
    </r>
    <r>
      <rPr>
        <sz val="12"/>
        <color indexed="8"/>
        <rFont val="Times New Roman"/>
        <family val="1"/>
        <charset val="204"/>
      </rPr>
      <t xml:space="preserve"> досягнення та утримання рівня 100% охоплення тестуванням на ВІЛ-інфекцію 1 раз на рік осіб на ЗПТ, відносно базового показника – 80% (2016 р.)</t>
    </r>
  </si>
  <si>
    <t>1.9.</t>
  </si>
  <si>
    <r>
      <t>Показники продукту:</t>
    </r>
    <r>
      <rPr>
        <sz val="12"/>
        <color indexed="8"/>
        <rFont val="Times New Roman"/>
        <family val="1"/>
        <charset val="204"/>
      </rPr>
      <t xml:space="preserve"> кількість</t>
    </r>
    <r>
      <rPr>
        <b/>
        <sz val="12"/>
        <color indexed="8"/>
        <rFont val="Times New Roman"/>
        <family val="1"/>
        <charset val="204"/>
      </rPr>
      <t xml:space="preserve"> </t>
    </r>
    <r>
      <rPr>
        <sz val="12"/>
        <color indexed="8"/>
        <rFont val="Times New Roman"/>
        <family val="1"/>
        <charset val="204"/>
      </rPr>
      <t>вагітних</t>
    </r>
    <r>
      <rPr>
        <b/>
        <sz val="12"/>
        <color indexed="8"/>
        <rFont val="Times New Roman"/>
        <family val="1"/>
        <charset val="204"/>
      </rPr>
      <t xml:space="preserve"> </t>
    </r>
    <r>
      <rPr>
        <sz val="12"/>
        <color indexed="8"/>
        <rFont val="Times New Roman"/>
        <family val="1"/>
        <charset val="204"/>
      </rPr>
      <t>жінок, охоплених обстеженням на ВІЛ-інфекцію, осіб</t>
    </r>
  </si>
  <si>
    <r>
      <t xml:space="preserve">Показник ефективності: </t>
    </r>
    <r>
      <rPr>
        <sz val="12"/>
        <color indexed="8"/>
        <rFont val="Times New Roman"/>
        <family val="1"/>
        <charset val="204"/>
      </rPr>
      <t>вартість охоплення скринінгом на ВІЛ 1 вагітної жінки, тис. грн.</t>
    </r>
  </si>
  <si>
    <r>
      <t xml:space="preserve">Показники якості: </t>
    </r>
    <r>
      <rPr>
        <sz val="12"/>
        <color indexed="8"/>
        <rFont val="Times New Roman"/>
        <family val="1"/>
        <charset val="204"/>
      </rPr>
      <t>досягнення та</t>
    </r>
    <r>
      <rPr>
        <i/>
        <sz val="12"/>
        <color indexed="8"/>
        <rFont val="Times New Roman"/>
        <family val="1"/>
        <charset val="204"/>
      </rPr>
      <t xml:space="preserve"> </t>
    </r>
    <r>
      <rPr>
        <sz val="12"/>
        <color indexed="8"/>
        <rFont val="Times New Roman"/>
        <family val="1"/>
        <charset val="204"/>
      </rPr>
      <t>дотримання стандарту щодо 100% охоплення  вагітних</t>
    </r>
    <r>
      <rPr>
        <b/>
        <sz val="12"/>
        <color indexed="8"/>
        <rFont val="Times New Roman"/>
        <family val="1"/>
        <charset val="204"/>
      </rPr>
      <t xml:space="preserve"> </t>
    </r>
    <r>
      <rPr>
        <sz val="12"/>
        <color indexed="8"/>
        <rFont val="Times New Roman"/>
        <family val="1"/>
        <charset val="204"/>
      </rPr>
      <t>жінок обстеженням на ВІЛ-інфекцію.  Базовий  показник - 100% (2016 рік)</t>
    </r>
  </si>
  <si>
    <r>
      <t xml:space="preserve">Показник затрат, </t>
    </r>
    <r>
      <rPr>
        <sz val="12"/>
        <color indexed="8"/>
        <rFont val="Times New Roman"/>
        <family val="1"/>
        <charset val="204"/>
      </rPr>
      <t>тис. грн</t>
    </r>
  </si>
  <si>
    <r>
      <t>Показники продукту:</t>
    </r>
    <r>
      <rPr>
        <sz val="12"/>
        <color indexed="8"/>
        <rFont val="Times New Roman"/>
        <family val="1"/>
        <charset val="204"/>
      </rPr>
      <t xml:space="preserve"> кількість дітей першого року життя, народжених ВІЛ-інфікованими матерями, які забезпечені  адаптованими молочними сумішами, осіб</t>
    </r>
  </si>
  <si>
    <r>
      <t xml:space="preserve">Показник ефективності: </t>
    </r>
    <r>
      <rPr>
        <sz val="12"/>
        <color indexed="8"/>
        <rFont val="Times New Roman"/>
        <family val="1"/>
        <charset val="204"/>
      </rPr>
      <t>вартість вигодування 1 дитини, народженої від ВІЛ-інфікованої жінки на рік, тис. грн.</t>
    </r>
  </si>
  <si>
    <r>
      <t xml:space="preserve">Показники якості: </t>
    </r>
    <r>
      <rPr>
        <sz val="12"/>
        <color indexed="8"/>
        <rFont val="Times New Roman"/>
        <family val="1"/>
        <charset val="204"/>
      </rPr>
      <t xml:space="preserve">досягнення та утримання на рівні 100% рівень забезпечення </t>
    </r>
    <r>
      <rPr>
        <i/>
        <sz val="12"/>
        <color indexed="8"/>
        <rFont val="Times New Roman"/>
        <family val="1"/>
        <charset val="204"/>
      </rPr>
      <t xml:space="preserve"> </t>
    </r>
    <r>
      <rPr>
        <sz val="12"/>
        <color indexed="8"/>
        <rFont val="Times New Roman"/>
        <family val="1"/>
        <charset val="204"/>
      </rPr>
      <t>дітей першого року життя, народжених ВІЛ-інфікованими матерями адаптованими молочними сумішами. Базовий  показник  - 60%</t>
    </r>
  </si>
  <si>
    <r>
      <t xml:space="preserve">Показники продукту: </t>
    </r>
    <r>
      <rPr>
        <sz val="12"/>
        <color indexed="8"/>
        <rFont val="Times New Roman"/>
        <family val="1"/>
        <charset val="204"/>
      </rPr>
      <t>кількість ВІЛ-інфікованих жінок, які  забезпечені антиретровірусними препаратами для профілактики передачі ВІЛ-інфекції від матері до дитини</t>
    </r>
  </si>
  <si>
    <r>
      <t>Показники продукту:</t>
    </r>
    <r>
      <rPr>
        <sz val="12"/>
        <color indexed="8"/>
        <rFont val="Times New Roman"/>
        <family val="1"/>
        <charset val="204"/>
      </rPr>
      <t xml:space="preserve"> кількість</t>
    </r>
    <r>
      <rPr>
        <b/>
        <sz val="12"/>
        <color indexed="8"/>
        <rFont val="Times New Roman"/>
        <family val="1"/>
        <charset val="204"/>
      </rPr>
      <t xml:space="preserve"> </t>
    </r>
    <r>
      <rPr>
        <sz val="12"/>
        <color indexed="8"/>
        <rFont val="Times New Roman"/>
        <family val="1"/>
        <charset val="204"/>
      </rPr>
      <t>осіб, які пройшли навчання з надання комплексних профілактичних послуг ГПР у щодо інфікування ВІЛ</t>
    </r>
  </si>
  <si>
    <r>
      <t xml:space="preserve">Показник ефективності: </t>
    </r>
    <r>
      <rPr>
        <sz val="12"/>
        <color indexed="8"/>
        <rFont val="Times New Roman"/>
        <family val="1"/>
        <charset val="204"/>
      </rPr>
      <t>витрати на проведення навчання на рік, тис. грн.</t>
    </r>
  </si>
  <si>
    <r>
      <t xml:space="preserve">Показники якості: </t>
    </r>
    <r>
      <rPr>
        <sz val="12"/>
        <color indexed="8"/>
        <rFont val="Times New Roman"/>
        <family val="1"/>
        <charset val="204"/>
      </rPr>
      <t>збільшення частки соціальних працівників, які пройшли навчання відносно базового рівня 70%</t>
    </r>
  </si>
  <si>
    <r>
      <t xml:space="preserve">Показники якості: </t>
    </r>
    <r>
      <rPr>
        <sz val="12"/>
        <color indexed="8"/>
        <rFont val="Times New Roman"/>
        <family val="1"/>
        <charset val="204"/>
      </rPr>
      <t>динаміка</t>
    </r>
    <r>
      <rPr>
        <i/>
        <sz val="12"/>
        <color indexed="8"/>
        <rFont val="Times New Roman"/>
        <family val="1"/>
        <charset val="204"/>
      </rPr>
      <t xml:space="preserve"> </t>
    </r>
    <r>
      <rPr>
        <sz val="12"/>
        <color indexed="8"/>
        <rFont val="Times New Roman"/>
        <family val="1"/>
        <charset val="204"/>
      </rPr>
      <t>охоплення ВІЛ-позитивних вагітних жінок та дітей, народжених ними, профілактикою інфікування ВІЛ антиретровірусними препаратами. Базове значення показника – 99,5%</t>
    </r>
  </si>
  <si>
    <t>2.1.</t>
  </si>
  <si>
    <t>2.2.</t>
  </si>
  <si>
    <t>2.3.</t>
  </si>
  <si>
    <t>2.4.</t>
  </si>
  <si>
    <r>
      <t xml:space="preserve">Показники продукту: </t>
    </r>
    <r>
      <rPr>
        <sz val="12"/>
        <color indexed="8"/>
        <rFont val="Times New Roman"/>
        <family val="1"/>
        <charset val="204"/>
      </rPr>
      <t>кількість закладів, де запроваджено лабораторне підтвердження та реєстрація випадку за місцем виявлення, одиниць</t>
    </r>
  </si>
  <si>
    <r>
      <t>Показник якості:</t>
    </r>
    <r>
      <rPr>
        <sz val="12"/>
        <color indexed="8"/>
        <rFont val="Times New Roman"/>
        <family val="1"/>
        <charset val="204"/>
      </rPr>
      <t xml:space="preserve"> динаміка частки ЛЖВ, яким забезпечено реєстрацію та лабораторне підтвердження випадку ВІЛ-інфекції за місцем його виявлення відносно базового показника – менше 36%</t>
    </r>
  </si>
  <si>
    <r>
      <t xml:space="preserve">Показники продукту: </t>
    </r>
    <r>
      <rPr>
        <sz val="12"/>
        <color indexed="8"/>
        <rFont val="Times New Roman"/>
        <family val="1"/>
        <charset val="204"/>
      </rPr>
      <t>закладів охорони здоров’я, у яких запроваджений  міський день тестування  на ВІЛ-інфекцію, одиниць</t>
    </r>
  </si>
  <si>
    <r>
      <t>Показник якості:</t>
    </r>
    <r>
      <rPr>
        <sz val="12"/>
        <color indexed="8"/>
        <rFont val="Times New Roman"/>
        <family val="1"/>
        <charset val="204"/>
      </rPr>
      <t xml:space="preserve"> динаміка частки ЗОЗ, де запроваджений міський день  тестування  на ВІЛ-інфекцію (базовий показник – 0%)</t>
    </r>
  </si>
  <si>
    <r>
      <t xml:space="preserve">Показники продукту: </t>
    </r>
    <r>
      <rPr>
        <sz val="12"/>
        <color indexed="8"/>
        <rFont val="Times New Roman"/>
        <family val="1"/>
        <charset val="204"/>
      </rPr>
      <t>кількість закладів охорони здоров’я, де населення має доступ до ПТВ, одиниць</t>
    </r>
  </si>
  <si>
    <r>
      <t xml:space="preserve">Показник якості: </t>
    </r>
    <r>
      <rPr>
        <sz val="12"/>
        <color indexed="8"/>
        <rFont val="Times New Roman"/>
        <family val="1"/>
        <charset val="204"/>
      </rPr>
      <t>динаміка</t>
    </r>
    <r>
      <rPr>
        <i/>
        <sz val="12"/>
        <color indexed="8"/>
        <rFont val="Times New Roman"/>
        <family val="1"/>
        <charset val="204"/>
      </rPr>
      <t xml:space="preserve"> </t>
    </r>
    <r>
      <rPr>
        <sz val="12"/>
        <color indexed="8"/>
        <rFont val="Times New Roman"/>
        <family val="1"/>
        <charset val="204"/>
      </rPr>
      <t>частки закладів охорони здоров’я, де населення має доступ до ПТВ, відносно базового показника – менше 10%</t>
    </r>
  </si>
  <si>
    <t>2.5.</t>
  </si>
  <si>
    <r>
      <t xml:space="preserve">Показник затрат: </t>
    </r>
    <r>
      <rPr>
        <sz val="12"/>
        <color indexed="8"/>
        <rFont val="Times New Roman"/>
        <family val="1"/>
        <charset val="204"/>
      </rPr>
      <t xml:space="preserve">тис. грн. </t>
    </r>
  </si>
  <si>
    <r>
      <t xml:space="preserve">Показник продукту: </t>
    </r>
    <r>
      <rPr>
        <sz val="12"/>
        <color indexed="8"/>
        <rFont val="Times New Roman"/>
        <family val="1"/>
        <charset val="204"/>
      </rPr>
      <t xml:space="preserve">кількість створених кабінетів інтегрованої допомоги ГПР, одиниць  </t>
    </r>
  </si>
  <si>
    <r>
      <t xml:space="preserve">Показник ефективності: </t>
    </r>
    <r>
      <rPr>
        <sz val="12"/>
        <color indexed="8"/>
        <rFont val="Times New Roman"/>
        <family val="1"/>
        <charset val="204"/>
      </rPr>
      <t>середня чисельність населення на 1 діючий кабінет інтегрованої допомоги ГПР, тис. осіб</t>
    </r>
  </si>
  <si>
    <r>
      <t xml:space="preserve">Показник ефективності: </t>
    </r>
    <r>
      <rPr>
        <sz val="12"/>
        <color indexed="8"/>
        <rFont val="Times New Roman"/>
        <family val="1"/>
        <charset val="204"/>
      </rPr>
      <t>середня вартість облаштування одного кабінету інтегрованої допомоги ГПР, тис. грн.</t>
    </r>
  </si>
  <si>
    <r>
      <t xml:space="preserve">Показник якості: </t>
    </r>
    <r>
      <rPr>
        <sz val="12"/>
        <color indexed="8"/>
        <rFont val="Times New Roman"/>
        <family val="1"/>
        <charset val="204"/>
      </rPr>
      <t>динаміка</t>
    </r>
    <r>
      <rPr>
        <b/>
        <sz val="12"/>
        <color indexed="8"/>
        <rFont val="Times New Roman"/>
        <family val="1"/>
        <charset val="204"/>
      </rPr>
      <t xml:space="preserve"> </t>
    </r>
    <r>
      <rPr>
        <sz val="12"/>
        <color indexed="8"/>
        <rFont val="Times New Roman"/>
        <family val="1"/>
        <charset val="204"/>
      </rPr>
      <t>частки районів міста, де населення з числа ГПР має доступ до послуг комплексних ВІЛ-послуг за місцем проживання. Базовий показник - 50% (2016 р.)</t>
    </r>
  </si>
  <si>
    <t>2.6.</t>
  </si>
  <si>
    <t>2.7.</t>
  </si>
  <si>
    <r>
      <t xml:space="preserve">Показник продукту: </t>
    </r>
    <r>
      <rPr>
        <sz val="12"/>
        <color indexed="8"/>
        <rFont val="Times New Roman"/>
        <family val="1"/>
        <charset val="204"/>
      </rPr>
      <t>кількість осіб з числа ГПР, у яких було діагностовано ВІЛ на базі НУО</t>
    </r>
  </si>
  <si>
    <r>
      <t xml:space="preserve">Показник ефективності: </t>
    </r>
    <r>
      <rPr>
        <sz val="12"/>
        <color indexed="8"/>
        <rFont val="Times New Roman"/>
        <family val="1"/>
        <charset val="204"/>
      </rPr>
      <t>вартість виявлення 1 ЛЖВ з числа ГПР на базі НУО</t>
    </r>
  </si>
  <si>
    <r>
      <t>Показник якості:</t>
    </r>
    <r>
      <rPr>
        <sz val="12"/>
        <color indexed="8"/>
        <rFont val="Times New Roman"/>
        <family val="1"/>
        <charset val="204"/>
      </rPr>
      <t xml:space="preserve"> результативність (або відсоток позитивних результатів) тестування ГПР на ВІЛ-інфекцію, %</t>
    </r>
  </si>
  <si>
    <r>
      <t xml:space="preserve">Показник продукту: </t>
    </r>
    <r>
      <rPr>
        <sz val="12"/>
        <color indexed="8"/>
        <rFont val="Times New Roman"/>
        <family val="1"/>
        <charset val="204"/>
      </rPr>
      <t>проведення зовнішньої оцінки якості досліджень з використанням швидких тестів на рік</t>
    </r>
  </si>
  <si>
    <r>
      <t xml:space="preserve">Показник якості: </t>
    </r>
    <r>
      <rPr>
        <sz val="12"/>
        <color indexed="8"/>
        <rFont val="Times New Roman"/>
        <family val="1"/>
        <charset val="204"/>
      </rPr>
      <t>Забезпечено належного рівню якості досліджень з використанням швидких тестів</t>
    </r>
  </si>
  <si>
    <r>
      <t xml:space="preserve">Показники продукту: </t>
    </r>
    <r>
      <rPr>
        <sz val="12"/>
        <color indexed="8"/>
        <rFont val="Times New Roman"/>
        <family val="1"/>
        <charset val="204"/>
      </rPr>
      <t>кількість зареєстрованих нових випадків ВІЛ-інфекції</t>
    </r>
  </si>
  <si>
    <r>
      <t xml:space="preserve">Показник ефективності: </t>
    </r>
    <r>
      <rPr>
        <sz val="12"/>
        <color indexed="8"/>
        <rFont val="Times New Roman"/>
        <family val="1"/>
        <charset val="204"/>
      </rPr>
      <t>середні витрати на залучення 1 ЛЖВ до медичного спостереження, тис. грн.</t>
    </r>
  </si>
  <si>
    <r>
      <t xml:space="preserve">Показники продукту: </t>
    </r>
    <r>
      <rPr>
        <sz val="12"/>
        <color indexed="8"/>
        <rFont val="Times New Roman"/>
        <family val="1"/>
        <charset val="204"/>
      </rPr>
      <t>ЛЖВ, яких було взято на диспансерний облік з приводу ВІЛ-інфекції безпосередньо під час перебування на стаціонарному лікуванні з числа вперше діагностованих</t>
    </r>
  </si>
  <si>
    <r>
      <t xml:space="preserve">Показники якості: </t>
    </r>
    <r>
      <rPr>
        <sz val="12"/>
        <color indexed="8"/>
        <rFont val="Times New Roman"/>
        <family val="1"/>
        <charset val="204"/>
      </rPr>
      <t>динаміка частки</t>
    </r>
    <r>
      <rPr>
        <b/>
        <sz val="12"/>
        <color indexed="8"/>
        <rFont val="Times New Roman"/>
        <family val="1"/>
        <charset val="204"/>
      </rPr>
      <t xml:space="preserve"> </t>
    </r>
    <r>
      <rPr>
        <sz val="12"/>
        <color indexed="8"/>
        <rFont val="Times New Roman"/>
        <family val="1"/>
        <charset val="204"/>
      </rPr>
      <t xml:space="preserve"> ЛЖВ, яких було взято на диспансерний облік з приводу ВІЛ-інфекції безпосередньо під час перебування на стаціонарному лікуванні з числа вперше діагностованих у ЗОЗ. Базовий показник –18%.</t>
    </r>
  </si>
  <si>
    <r>
      <t xml:space="preserve">Показники якості: </t>
    </r>
    <r>
      <rPr>
        <sz val="12"/>
        <color indexed="8"/>
        <rFont val="Times New Roman"/>
        <family val="1"/>
        <charset val="204"/>
      </rPr>
      <t>динаміка показника охоплення ВІЛ-позитивних осіб медичним обліком від кількості ВІЛ-позитивних осіб за даними СЕМ, %</t>
    </r>
  </si>
  <si>
    <r>
      <t xml:space="preserve">Показники продукту: </t>
    </r>
    <r>
      <rPr>
        <sz val="12"/>
        <color indexed="8"/>
        <rFont val="Times New Roman"/>
        <family val="1"/>
        <charset val="204"/>
      </rPr>
      <t xml:space="preserve">кількість ЛЖВ </t>
    </r>
    <r>
      <rPr>
        <b/>
        <sz val="12"/>
        <color indexed="8"/>
        <rFont val="Times New Roman"/>
        <family val="1"/>
        <charset val="204"/>
      </rPr>
      <t xml:space="preserve"> </t>
    </r>
    <r>
      <rPr>
        <sz val="12"/>
        <color indexed="8"/>
        <rFont val="Times New Roman"/>
        <family val="1"/>
        <charset val="204"/>
      </rPr>
      <t>з вперше встановленим діагнозом, які взяті під медичне спостереження лікарем-інфекціоністом за місцем проживання</t>
    </r>
  </si>
  <si>
    <r>
      <t xml:space="preserve">Показники якості: </t>
    </r>
    <r>
      <rPr>
        <sz val="12"/>
        <color indexed="8"/>
        <rFont val="Times New Roman"/>
        <family val="1"/>
        <charset val="204"/>
      </rPr>
      <t>динаміка частки осіб, які спостерігаються з приводу ВІЛ-інфекції за місцем проживання (на базі КІЗ) від кількості ЛЖВ, зареєстрованих на даній адміністративно-територіальній одинці. Базовий показник – 0%</t>
    </r>
  </si>
  <si>
    <t>Запровадити у закладах охорони здоров’я, які надають (у т.ч. амбулаторну) медичну допомогу населенню, ПТВ з використанням швидких тестів: для осіб, які мають клінічні ознаки ВІЛ/СНІД; для осіб, у яких наявні поведінкові фактори ризику, та їхніх статевих партнерів; для статевих партнерів людей, які живуть з ВІЛ-інфекціею</t>
  </si>
  <si>
    <t>3.1.2.</t>
  </si>
  <si>
    <t>3.1.3.</t>
  </si>
  <si>
    <t>3.2.</t>
  </si>
  <si>
    <r>
      <t xml:space="preserve">Показник продукту: </t>
    </r>
    <r>
      <rPr>
        <sz val="12"/>
        <color indexed="8"/>
        <rFont val="Times New Roman"/>
        <family val="1"/>
        <charset val="204"/>
      </rPr>
      <t xml:space="preserve">кількість ЛЖВ, які охоплені діагностикою опортуністичних інфекцій при взятті під медичний нагляд </t>
    </r>
  </si>
  <si>
    <r>
      <t xml:space="preserve">Показник ефективності: </t>
    </r>
    <r>
      <rPr>
        <sz val="12"/>
        <color indexed="8"/>
        <rFont val="Times New Roman"/>
        <family val="1"/>
        <charset val="204"/>
      </rPr>
      <t>середня вартість лабораторного  обстеження на опортуністичні інфекції</t>
    </r>
  </si>
  <si>
    <r>
      <t xml:space="preserve">Показник якості: </t>
    </r>
    <r>
      <rPr>
        <sz val="12"/>
        <color indexed="8"/>
        <rFont val="Times New Roman"/>
        <family val="1"/>
        <charset val="204"/>
      </rPr>
      <t>динаміка частки охоплення</t>
    </r>
    <r>
      <rPr>
        <b/>
        <sz val="12"/>
        <color indexed="8"/>
        <rFont val="Times New Roman"/>
        <family val="1"/>
        <charset val="204"/>
      </rPr>
      <t xml:space="preserve"> </t>
    </r>
    <r>
      <rPr>
        <sz val="12"/>
        <color indexed="8"/>
        <rFont val="Times New Roman"/>
        <family val="1"/>
        <charset val="204"/>
      </rPr>
      <t xml:space="preserve">ЛЖВ обстеженням на опортуністичні інфекції від кількості взятих під медичний нагляд. Базовий рівень показника – 30% </t>
    </r>
  </si>
  <si>
    <t>3.3.</t>
  </si>
  <si>
    <t>загально діагностичні дослідження та визначення маркерів гепатитів та сифілісу</t>
  </si>
  <si>
    <t>профілактика опортуністичних інфекцій у ЛЖВ</t>
  </si>
  <si>
    <t>3.3.1</t>
  </si>
  <si>
    <t>3.3.2</t>
  </si>
  <si>
    <t>3.3.3.</t>
  </si>
  <si>
    <t>3.4.</t>
  </si>
  <si>
    <t>3.4.1.</t>
  </si>
  <si>
    <t xml:space="preserve">Забезпечити профілактику та лікування опортуністичних інфекцій у ЛЖВ, з них: </t>
  </si>
  <si>
    <t>3.4.2.</t>
  </si>
  <si>
    <t>3.5.</t>
  </si>
  <si>
    <r>
      <t xml:space="preserve">Показник продукту: </t>
    </r>
    <r>
      <rPr>
        <sz val="12"/>
        <color indexed="8"/>
        <rFont val="Times New Roman"/>
        <family val="1"/>
        <charset val="204"/>
      </rPr>
      <t xml:space="preserve">кількість ЛЖВ, які охоплені діагностикою ко-інфекцій та супутніх захворювань </t>
    </r>
  </si>
  <si>
    <r>
      <t xml:space="preserve">Показник ефективності: </t>
    </r>
    <r>
      <rPr>
        <sz val="12"/>
        <color indexed="8"/>
        <rFont val="Times New Roman"/>
        <family val="1"/>
        <charset val="204"/>
      </rPr>
      <t xml:space="preserve">середня вартість клініко-лабораторного  обстеження ЛЖВ </t>
    </r>
  </si>
  <si>
    <r>
      <t xml:space="preserve">Показник якості: </t>
    </r>
    <r>
      <rPr>
        <sz val="12"/>
        <color indexed="8"/>
        <rFont val="Times New Roman"/>
        <family val="1"/>
        <charset val="204"/>
      </rPr>
      <t>динаміка охоплення</t>
    </r>
    <r>
      <rPr>
        <b/>
        <sz val="12"/>
        <color indexed="8"/>
        <rFont val="Times New Roman"/>
        <family val="1"/>
        <charset val="204"/>
      </rPr>
      <t xml:space="preserve"> </t>
    </r>
    <r>
      <rPr>
        <sz val="12"/>
        <color indexed="8"/>
        <rFont val="Times New Roman"/>
        <family val="1"/>
        <charset val="204"/>
      </rPr>
      <t>повним</t>
    </r>
    <r>
      <rPr>
        <b/>
        <sz val="12"/>
        <color indexed="8"/>
        <rFont val="Times New Roman"/>
        <family val="1"/>
        <charset val="204"/>
      </rPr>
      <t xml:space="preserve"> </t>
    </r>
    <r>
      <rPr>
        <sz val="12"/>
        <color indexed="8"/>
        <rFont val="Times New Roman"/>
        <family val="1"/>
        <charset val="204"/>
      </rPr>
      <t>клініко-лабораторним обстеженням ЛЖВ при взятті під медичний нагляд. Базовий рівень показника 80%</t>
    </r>
  </si>
  <si>
    <r>
      <t xml:space="preserve">Показник продукту: </t>
    </r>
    <r>
      <rPr>
        <sz val="12"/>
        <color indexed="8"/>
        <rFont val="Times New Roman"/>
        <family val="1"/>
        <charset val="204"/>
      </rPr>
      <t>кількість ЛЖВ, яким проведено визначення рівня CD4 відповідно до клінічного протоколу, осіб</t>
    </r>
  </si>
  <si>
    <r>
      <t xml:space="preserve">Показник ефективності: </t>
    </r>
    <r>
      <rPr>
        <sz val="12"/>
        <color indexed="8"/>
        <rFont val="Times New Roman"/>
        <family val="1"/>
        <charset val="204"/>
      </rPr>
      <t>вартість одного дослідження CD4, тис. грн.</t>
    </r>
    <r>
      <rPr>
        <b/>
        <sz val="12"/>
        <color indexed="8"/>
        <rFont val="Times New Roman"/>
        <family val="1"/>
        <charset val="204"/>
      </rPr>
      <t xml:space="preserve"> </t>
    </r>
  </si>
  <si>
    <r>
      <t xml:space="preserve">Показник якості: </t>
    </r>
    <r>
      <rPr>
        <sz val="12"/>
        <color indexed="8"/>
        <rFont val="Times New Roman"/>
        <family val="1"/>
        <charset val="204"/>
      </rPr>
      <t>динаміка частки осіб ЛЖВ, яким визначений рівень CD4. Базовий показник 100%</t>
    </r>
  </si>
  <si>
    <r>
      <t xml:space="preserve">Показник продукту: </t>
    </r>
    <r>
      <rPr>
        <sz val="12"/>
        <color indexed="8"/>
        <rFont val="Times New Roman"/>
        <family val="1"/>
        <charset val="204"/>
      </rPr>
      <t>кількість ЛЖВ, яка забезпечена</t>
    </r>
    <r>
      <rPr>
        <b/>
        <sz val="12"/>
        <color indexed="8"/>
        <rFont val="Times New Roman"/>
        <family val="1"/>
        <charset val="204"/>
      </rPr>
      <t xml:space="preserve"> </t>
    </r>
    <r>
      <rPr>
        <sz val="12"/>
        <color indexed="8"/>
        <rFont val="Times New Roman"/>
        <family val="1"/>
        <charset val="204"/>
      </rPr>
      <t>вакуумні систем для забору крові, осіб</t>
    </r>
  </si>
  <si>
    <r>
      <t xml:space="preserve">Показник ефективності: </t>
    </r>
    <r>
      <rPr>
        <sz val="12"/>
        <color indexed="8"/>
        <rFont val="Times New Roman"/>
        <family val="1"/>
        <charset val="204"/>
      </rPr>
      <t xml:space="preserve">вартість забезпечення вакуумними системами  однієї особи ЛЖВ на рік, тис. грн. </t>
    </r>
  </si>
  <si>
    <r>
      <t>Показник якості:</t>
    </r>
    <r>
      <rPr>
        <sz val="12"/>
        <color indexed="8"/>
        <rFont val="Times New Roman"/>
        <family val="1"/>
        <charset val="204"/>
      </rPr>
      <t xml:space="preserve"> динаміка частки осіб ЛЖВ, які забезпечені вакуумними системами. Базовий показник 100%</t>
    </r>
  </si>
  <si>
    <r>
      <t xml:space="preserve">Показники продукту: </t>
    </r>
    <r>
      <rPr>
        <sz val="12"/>
        <color indexed="8"/>
        <rFont val="Times New Roman"/>
        <family val="1"/>
        <charset val="204"/>
      </rPr>
      <t>кількість ЛЖВ, які отримали:</t>
    </r>
  </si>
  <si>
    <r>
      <t xml:space="preserve">Показник ефективності: </t>
    </r>
    <r>
      <rPr>
        <sz val="12"/>
        <color indexed="8"/>
        <rFont val="Times New Roman"/>
        <family val="1"/>
        <charset val="204"/>
      </rPr>
      <t>середня вартість 1 курсу профілактики опортуністичних інфекцій на рік</t>
    </r>
  </si>
  <si>
    <r>
      <t xml:space="preserve">Показник якості: </t>
    </r>
    <r>
      <rPr>
        <sz val="12"/>
        <color indexed="8"/>
        <rFont val="Times New Roman"/>
        <family val="1"/>
        <charset val="204"/>
      </rPr>
      <t>динаміка частки ЛЖВ, яка отримує доступ до профілактики опортуністичних інфекцій. Базовий показник 45%</t>
    </r>
  </si>
  <si>
    <r>
      <t xml:space="preserve">Показники продукту: </t>
    </r>
    <r>
      <rPr>
        <sz val="12"/>
        <color indexed="8"/>
        <rFont val="Times New Roman"/>
        <family val="1"/>
        <charset val="204"/>
      </rPr>
      <t>кількість ЛЖВ, які отримали лікування опортуністичних інфекцій</t>
    </r>
  </si>
  <si>
    <r>
      <t xml:space="preserve">Показник ефективності: </t>
    </r>
    <r>
      <rPr>
        <sz val="12"/>
        <color indexed="8"/>
        <rFont val="Times New Roman"/>
        <family val="1"/>
        <charset val="204"/>
      </rPr>
      <t>середня вартість лікування, тис. грн.</t>
    </r>
    <r>
      <rPr>
        <b/>
        <sz val="12"/>
        <color indexed="8"/>
        <rFont val="Times New Roman"/>
        <family val="1"/>
        <charset val="204"/>
      </rPr>
      <t xml:space="preserve"> </t>
    </r>
  </si>
  <si>
    <r>
      <t xml:space="preserve">Показник якості: </t>
    </r>
    <r>
      <rPr>
        <sz val="12"/>
        <color indexed="8"/>
        <rFont val="Times New Roman"/>
        <family val="1"/>
        <charset val="204"/>
      </rPr>
      <t>динаміка частки</t>
    </r>
    <r>
      <rPr>
        <b/>
        <sz val="12"/>
        <color indexed="8"/>
        <rFont val="Times New Roman"/>
        <family val="1"/>
        <charset val="204"/>
      </rPr>
      <t xml:space="preserve"> </t>
    </r>
    <r>
      <rPr>
        <sz val="12"/>
        <color indexed="8"/>
        <rFont val="Times New Roman"/>
        <family val="1"/>
        <charset val="204"/>
      </rPr>
      <t>ЛЖВ від тих, що потребують, які отримали лікування опортуністичних інфекцій за кошти місцевого бюджету. Базовий рівень показника - 10%</t>
    </r>
  </si>
  <si>
    <r>
      <t xml:space="preserve">Показники продукту: </t>
    </r>
    <r>
      <rPr>
        <sz val="12"/>
        <color indexed="8"/>
        <rFont val="Times New Roman"/>
        <family val="1"/>
        <charset val="204"/>
      </rPr>
      <t>кількість лікарів-інфекціоністів закладів охорони здоров’я вторинного рівня надання медичної допомоги які пройшли навчання з питань діагностики та лікування ВІЛ-інфекції/СНІДу, осіб</t>
    </r>
  </si>
  <si>
    <r>
      <t xml:space="preserve">Показник ефективності: </t>
    </r>
    <r>
      <rPr>
        <sz val="12"/>
        <color indexed="8"/>
        <rFont val="Times New Roman"/>
        <family val="1"/>
        <charset val="204"/>
      </rPr>
      <t>середня вартість навчання, тис. грн.</t>
    </r>
    <r>
      <rPr>
        <b/>
        <sz val="12"/>
        <color indexed="8"/>
        <rFont val="Times New Roman"/>
        <family val="1"/>
        <charset val="204"/>
      </rPr>
      <t xml:space="preserve"> </t>
    </r>
  </si>
  <si>
    <r>
      <t xml:space="preserve">Показник якості: </t>
    </r>
    <r>
      <rPr>
        <sz val="12"/>
        <color indexed="8"/>
        <rFont val="Times New Roman"/>
        <family val="1"/>
        <charset val="204"/>
      </rPr>
      <t>динаміка показника</t>
    </r>
    <r>
      <rPr>
        <b/>
        <sz val="12"/>
        <color indexed="8"/>
        <rFont val="Times New Roman"/>
        <family val="1"/>
        <charset val="204"/>
      </rPr>
      <t xml:space="preserve"> </t>
    </r>
    <r>
      <rPr>
        <sz val="12"/>
        <color indexed="8"/>
        <rFont val="Times New Roman"/>
        <family val="1"/>
        <charset val="204"/>
      </rPr>
      <t>відсотка лікарів-інфекціоністів ЗОЗ</t>
    </r>
    <r>
      <rPr>
        <b/>
        <sz val="12"/>
        <color indexed="8"/>
        <rFont val="Times New Roman"/>
        <family val="1"/>
        <charset val="204"/>
      </rPr>
      <t xml:space="preserve"> </t>
    </r>
    <r>
      <rPr>
        <sz val="12"/>
        <color indexed="8"/>
        <rFont val="Times New Roman"/>
        <family val="1"/>
        <charset val="204"/>
      </rPr>
      <t>вторинного рівня надання медичної допомоги, які пройшли навчання з питань діагностики та лікування ВІЛ-інфекції/СНІДу. Базовий рівень – 3%</t>
    </r>
  </si>
  <si>
    <t>4.2.</t>
  </si>
  <si>
    <t>Оптимізувати процес видачі антиретровірусних препаратів (далі - АРВП) шляхом запровадження рецептурної безкоштовної видачі антиретровірусних препаратів через аптечну мережу; визначення механізму моніторингу руху АРВП при видачі через аптеки з урахуванням різних джерел фінансування</t>
  </si>
  <si>
    <t xml:space="preserve">Показник затрат, тис. грн. </t>
  </si>
  <si>
    <r>
      <t>Показник продукту:</t>
    </r>
    <r>
      <rPr>
        <sz val="12"/>
        <color indexed="8"/>
        <rFont val="Times New Roman"/>
        <family val="1"/>
        <charset val="204"/>
      </rPr>
      <t xml:space="preserve"> кількість аптечних закладів та чисельність ЛЖВ, які отримують у них АРВП (</t>
    </r>
    <r>
      <rPr>
        <i/>
        <sz val="12"/>
        <color indexed="8"/>
        <rFont val="Times New Roman"/>
        <family val="1"/>
        <charset val="204"/>
      </rPr>
      <t>моніторинг запровадження</t>
    </r>
    <r>
      <rPr>
        <sz val="12"/>
        <color indexed="8"/>
        <rFont val="Times New Roman"/>
        <family val="1"/>
        <charset val="204"/>
      </rPr>
      <t>)</t>
    </r>
  </si>
  <si>
    <r>
      <t xml:space="preserve">Показник ефективності: </t>
    </r>
    <r>
      <rPr>
        <sz val="12"/>
        <color indexed="8"/>
        <rFont val="Times New Roman"/>
        <family val="1"/>
        <charset val="204"/>
      </rPr>
      <t>вартість затрат на одного пацієнта, який отримує АРТ через аптеку, тис. грн. Базовий рівень – 0%</t>
    </r>
  </si>
  <si>
    <t>4.3.</t>
  </si>
  <si>
    <r>
      <t xml:space="preserve">Показник продукту: </t>
    </r>
    <r>
      <rPr>
        <sz val="12"/>
        <color indexed="8"/>
        <rFont val="Times New Roman"/>
        <family val="1"/>
        <charset val="204"/>
      </rPr>
      <t>кількість</t>
    </r>
    <r>
      <rPr>
        <b/>
        <sz val="12"/>
        <color indexed="8"/>
        <rFont val="Times New Roman"/>
        <family val="1"/>
        <charset val="204"/>
      </rPr>
      <t xml:space="preserve"> </t>
    </r>
    <r>
      <rPr>
        <sz val="12"/>
        <color indexed="8"/>
        <rFont val="Times New Roman"/>
        <family val="1"/>
        <charset val="204"/>
      </rPr>
      <t>лікарів, які охопленні безперервним навчанням з антиретровірусної терапії</t>
    </r>
  </si>
  <si>
    <r>
      <t xml:space="preserve">Показник ефективності: </t>
    </r>
    <r>
      <rPr>
        <sz val="12"/>
        <color indexed="8"/>
        <rFont val="Times New Roman"/>
        <family val="1"/>
        <charset val="204"/>
      </rPr>
      <t>середні витрати на підготовку та підвищення кваліфікації лікаря з антиретровірусної терапії, тис. грн.</t>
    </r>
  </si>
  <si>
    <r>
      <t xml:space="preserve">Показник якості: </t>
    </r>
    <r>
      <rPr>
        <sz val="12"/>
        <color indexed="8"/>
        <rFont val="Times New Roman"/>
        <family val="1"/>
        <charset val="204"/>
      </rPr>
      <t xml:space="preserve">відсоток підготовлених лікарів, які кваліфіковано призначають та забезпечують моніторинг ефективності  антиретровірусної терапії </t>
    </r>
  </si>
  <si>
    <r>
      <t>Показник продукту:</t>
    </r>
    <r>
      <rPr>
        <sz val="12"/>
        <color indexed="8"/>
        <rFont val="Times New Roman"/>
        <family val="1"/>
        <charset val="204"/>
      </rPr>
      <t xml:space="preserve"> кількість лікарів, які охоплені безперервним  навчанням з профілактики, діагностики та лікування опортуністичних інфекцій у ЛЖВ</t>
    </r>
  </si>
  <si>
    <r>
      <t xml:space="preserve">Показник ефективності: </t>
    </r>
    <r>
      <rPr>
        <sz val="12"/>
        <color indexed="8"/>
        <rFont val="Times New Roman"/>
        <family val="1"/>
        <charset val="204"/>
      </rPr>
      <t>середні витрати на підготовку та підвищення кваліфікації лікаря з профілактики, діагностики та лікування опортуністичних інфекцій у ЛЖВ, тис. грн.</t>
    </r>
  </si>
  <si>
    <r>
      <t>Показник продукту:</t>
    </r>
    <r>
      <rPr>
        <sz val="12"/>
        <color indexed="8"/>
        <rFont val="Times New Roman"/>
        <family val="1"/>
        <charset val="204"/>
      </rPr>
      <t xml:space="preserve"> кількість лікарів, які пройшли навчання з діагностики та лікування ко-інфекцій у ЛЖВ</t>
    </r>
  </si>
  <si>
    <r>
      <t xml:space="preserve">Показник якості: </t>
    </r>
    <r>
      <rPr>
        <sz val="12"/>
        <color indexed="8"/>
        <rFont val="Times New Roman"/>
        <family val="1"/>
        <charset val="204"/>
      </rPr>
      <t>відсоток лікарів, які пройшли навчання з діагностики та лікування ко-інфекцій у ЛЖВ</t>
    </r>
  </si>
  <si>
    <r>
      <t xml:space="preserve">Показник ефективності: </t>
    </r>
    <r>
      <rPr>
        <sz val="12"/>
        <color indexed="8"/>
        <rFont val="Times New Roman"/>
        <family val="1"/>
        <charset val="204"/>
      </rPr>
      <t>середні витрати на підготовку та підвищення кваліфікації лікаря з діагностики та лікування ко-інфекцій у ЛЖВ (ВІЛ, вірусного гепатиту В і С, туберкульозу), тис. грн.</t>
    </r>
  </si>
  <si>
    <t>4.3.1.</t>
  </si>
  <si>
    <t>4.3.2.</t>
  </si>
  <si>
    <t>4.3.3.</t>
  </si>
  <si>
    <t>5.</t>
  </si>
  <si>
    <t>5.1.</t>
  </si>
  <si>
    <r>
      <t xml:space="preserve">Показник продукту: </t>
    </r>
    <r>
      <rPr>
        <sz val="12"/>
        <color indexed="8"/>
        <rFont val="Times New Roman"/>
        <family val="1"/>
        <charset val="204"/>
      </rPr>
      <t>чисельність ЛЖВ, у яких досягнуто невизначуваного рівня вірусного навантаження (&lt; 40 РНК копій/мл)</t>
    </r>
  </si>
  <si>
    <r>
      <t xml:space="preserve">Показник ефективності: </t>
    </r>
    <r>
      <rPr>
        <sz val="12"/>
        <color indexed="8"/>
        <rFont val="Times New Roman"/>
        <family val="1"/>
        <charset val="204"/>
      </rPr>
      <t xml:space="preserve">вартість клініко-лабораторного супроводу ефективності лікування 1 людини на рік, тис. грн. </t>
    </r>
  </si>
  <si>
    <r>
      <t xml:space="preserve">Показник якості: </t>
    </r>
    <r>
      <rPr>
        <sz val="12"/>
        <color indexed="8"/>
        <rFont val="Times New Roman"/>
        <family val="1"/>
        <charset val="204"/>
      </rPr>
      <t>динаміка показника відсотка ЛЖВ, охоплених клініко-лабораторним моніторингом ефективності АРТ. Базовий рівень – 95%</t>
    </r>
  </si>
  <si>
    <t>5.3.</t>
  </si>
  <si>
    <r>
      <t>Показник продукту:</t>
    </r>
    <r>
      <rPr>
        <sz val="12"/>
        <color indexed="8"/>
        <rFont val="Times New Roman"/>
        <family val="1"/>
        <charset val="204"/>
      </rPr>
      <t xml:space="preserve"> кількість лікарів, які підвищили кваліфікацію з питань ВІЛ/СНІДу, та надають кваліфіковану допомогу ЛЖВ</t>
    </r>
  </si>
  <si>
    <r>
      <t xml:space="preserve">Показник ефективності: </t>
    </r>
    <r>
      <rPr>
        <sz val="12"/>
        <color indexed="8"/>
        <rFont val="Times New Roman"/>
        <family val="1"/>
        <charset val="204"/>
      </rPr>
      <t>затрати до кількості навчених лікарів, які надають допомогу ЛЖВ, тис.грн.</t>
    </r>
  </si>
  <si>
    <r>
      <t>Показник якості:</t>
    </r>
    <r>
      <rPr>
        <sz val="12"/>
        <color indexed="8"/>
        <rFont val="Times New Roman"/>
        <family val="1"/>
        <charset val="204"/>
      </rPr>
      <t xml:space="preserve"> динаміка частки лікарів, які пройшли стажування з числа тих, що надають допомогу ЛЖВ. Базовий рівень – 12%</t>
    </r>
  </si>
  <si>
    <t>Проведено процедуру відкритих торгів. за підсумками аукціону який відбувся 01-06-2017, 11:26  визначено переможця КП "Фармація", але в звязку з відмовою від підписання договору пропозицію КП "Фарсмація" відхилено, та на даний час проводиться оцінка пропозиції наступного учасника ТОВ"БізнесЦентр Фармація"</t>
  </si>
  <si>
    <t>На даний час Постійною робочою групою Київської міської клінічної лікарні №5 з питань профільного супроводу публічних закупівель лікарських засобів, виробів медичного призначення  за Міською цільовою програмою протидії епідемії ВІЛ-інфекції на 2017-2021 роки проводиться робота з підготовки медико технічних вимог та переліку необхідних до закупівлі реактивів, виробів медичного призначення.</t>
  </si>
  <si>
    <t>Готуються пропозиції щодо перерозподілу коштів на інші райони м. Києва</t>
  </si>
  <si>
    <t>За підсумками проведення закупівлі визначено переможців та укладено договори. На даний час здійснюється постачання товару</t>
  </si>
  <si>
    <t>Повторно Оголошено закупівлю UA-2017-07-14-000332-c Вакуумні системи для забору крові  14.07.17, аукціон після 01.08.17</t>
  </si>
  <si>
    <t xml:space="preserve">Оголошено проведення відкритих торгів з публікацією англійською мовою. Подача пропозицій закінчилася 13-07-2017, 14:00  На даний час тендерний комітет провів оцінку пропозицій (прекваліфікація). Проведення аукціонів планується 14-08-2017. Проводиться робота по внесенню змін до показника (за рахунок економії) </t>
  </si>
  <si>
    <t>Оголошено проведення відкритих торгів з публікацією англійською мовою. Подача пропозицій закінчилася 13-07-2017, 14:00  На даний час тендерний комітет провів оцінку пропозицій (прекваліфікація). Проведення аукціонів планується 14-08-2017 р. Проводиться робота по внесенню змін до показника (за рахунок економії) .</t>
  </si>
  <si>
    <t>Оголошено закупівлю відкриті торги з публікацією англійською мовою UA-2017-07-18-000770-a Аукціон 25-09-2017 р. Проводиться робота по внесенню змін до показника (за рахунок економії) .</t>
  </si>
  <si>
    <t xml:space="preserve">Постійною робочою групою Київської міської клінічної лікарні №5 з питань профільного супроводу публічних закупівель лікарських засобів, виробів медичного призначення  за Міською цільовою програмою протидії епідемії ВІЛ-інфекції на 2017-2021 роки проводиться робота з підготовки медико технічних вимог та переліку необхідних до закупівлі реактивів, виробів медичного призначення та ліків. Проводиться робота по внесенню змін до показника (за рахунок економії) </t>
  </si>
  <si>
    <t>Постійною робочою групою Київської міської клінічної лікарні №5 з питань профільного супроводу публічних закупівель лікарських засобів, виробів медичного призначення  за Міською цільовою програмою протидії епідемії ВІЛ-інфекції на 2017-2021 роки проводиться робота з підготовки медико технічних вимог та переліку необхідних до закупівлі реактивів, виробів медичного призначення та ліків. Проводиться робота по внесенню змін до показника (за рахунок економії).</t>
  </si>
  <si>
    <t xml:space="preserve">Готується документація для проведення відкритих торгів та проводиться робота по внесенню змін до показника (за рахунок оотримання технічної допомоги від міжнародних донорських організацій). </t>
  </si>
  <si>
    <t>Оголошено закупівлю відкриті торги з публікацією англійською мовою UA-2017-07-18-000770-a Аукціон 25-09-2017. Проводиться робота по внесенню змін до показника (за рахунок економії).</t>
  </si>
  <si>
    <t>Річний показник</t>
  </si>
  <si>
    <t xml:space="preserve">Проведена закупівля відкриті торги UA-2017-05-05-001920-b, за підсумками торгів визначено переможця та укладено договір 06.06.2017 р. Сума закупівлі становить 1474,355 тис. грн.   Перша партія товару надійшла до закладу 07.06.17 Сума постачання склала 434,994 тис. грн. Постачання наступної партії товару планується на 26.07.17 Сума замовлення становить 120 тис. грн. Розрахунки за поставлений товар проведено в сумі 434 тис. грн. 14.07.17 р. Проводиться робота по внесенню змін до показника (за рахунок економії) </t>
  </si>
  <si>
    <t xml:space="preserve">Проводиться робота по внесенню змін до показника (за рахунок оотримання технічної допомоги від міжнародних донорських організацій). </t>
  </si>
  <si>
    <t xml:space="preserve">Проводиться робота по внесенню змін до показника </t>
  </si>
  <si>
    <r>
      <t xml:space="preserve">Показники продукту: </t>
    </r>
    <r>
      <rPr>
        <sz val="12"/>
        <rFont val="Times New Roman"/>
        <family val="1"/>
        <charset val="204"/>
      </rPr>
      <t>чисельність ЛЖВ, які отримують АРТ, осіб</t>
    </r>
  </si>
  <si>
    <t>Затримка у отриманні антиретровірусних препаратів.</t>
  </si>
  <si>
    <t>Головний лікар</t>
  </si>
  <si>
    <t>О.Юрченко</t>
  </si>
  <si>
    <t>Вик. Антоненко 450-96-15</t>
  </si>
  <si>
    <t xml:space="preserve">         Бодня 452-68050</t>
  </si>
  <si>
    <t>про виконання результативних показників у І півріччі 2017 року Міської цільової програми протидії епідемії ВІЛ-інфекції</t>
  </si>
  <si>
    <t>Інформація про виконання програми за 9 місяців 2017 року</t>
  </si>
  <si>
    <t>Інформація про виконання за 9 місяців 2017 року Міської цільової програми протидії епідемії  ВІЛ-інфекції на 2017-2021 роки</t>
  </si>
  <si>
    <t>про виконання результативних показників у І-ІІІ кварталах 2017 року Міської цільової програми протидії епідемії ВІЛ-інфекції</t>
  </si>
  <si>
    <r>
      <t>Показник якості:</t>
    </r>
    <r>
      <rPr>
        <sz val="12"/>
        <color indexed="8"/>
        <rFont val="Times New Roman"/>
        <family val="1"/>
        <charset val="204"/>
      </rPr>
      <t xml:space="preserve"> динаміка зміни частки ЧСЧ, які отримують  преконтактну профілактику  інфікування ВІЛ від оціночної чисельності ЧСЧ, порівняно з базовим рівнем – 0%</t>
    </r>
  </si>
  <si>
    <t>Забезпечити стійкість програми замісної підтримувальної терапії (ЗПТ) для людей, які вживають ін'єкційні наркотики (ЛВІН), за принципом інтегрованої медичної допомоги</t>
  </si>
  <si>
    <r>
      <rPr>
        <b/>
        <sz val="12"/>
        <rFont val="Times New Roman"/>
        <family val="1"/>
        <charset val="204"/>
      </rPr>
      <t>Показник продукту</t>
    </r>
    <r>
      <rPr>
        <sz val="12"/>
        <rFont val="Times New Roman"/>
        <family val="1"/>
        <charset val="204"/>
      </rPr>
      <t>: кількість оснащених кабінетів ЗПТ на базі закладів охорони здоров’я ПМСД</t>
    </r>
  </si>
  <si>
    <r>
      <rPr>
        <b/>
        <sz val="12"/>
        <rFont val="Times New Roman"/>
        <family val="1"/>
        <charset val="204"/>
      </rPr>
      <t>Показник ефективності:</t>
    </r>
    <r>
      <rPr>
        <sz val="12"/>
        <rFont val="Times New Roman"/>
        <family val="1"/>
        <charset val="204"/>
      </rPr>
      <t xml:space="preserve"> середнія вартість оснащення кабінету ЗПТ, тис. грн.</t>
    </r>
  </si>
  <si>
    <r>
      <rPr>
        <b/>
        <sz val="12"/>
        <rFont val="Times New Roman"/>
        <family val="1"/>
        <charset val="204"/>
      </rPr>
      <t>Показник якості:</t>
    </r>
    <r>
      <rPr>
        <sz val="12"/>
        <rFont val="Times New Roman"/>
        <family val="1"/>
        <charset val="204"/>
      </rPr>
      <t xml:space="preserve"> динаміка кількості районів, де запроваджено ЗПТ на базі закладів охорони здоров’я ПМСД. Базовий рівень – 0</t>
    </r>
  </si>
  <si>
    <t>забезпечення препаратами ЗПТ</t>
  </si>
  <si>
    <r>
      <rPr>
        <b/>
        <sz val="12"/>
        <rFont val="Times New Roman"/>
        <family val="1"/>
        <charset val="204"/>
      </rPr>
      <t>Показник затрат</t>
    </r>
    <r>
      <rPr>
        <sz val="12"/>
        <rFont val="Times New Roman"/>
        <family val="1"/>
        <charset val="204"/>
      </rPr>
      <t>, тис. грн.</t>
    </r>
  </si>
  <si>
    <r>
      <rPr>
        <b/>
        <sz val="12"/>
        <rFont val="Times New Roman"/>
        <family val="1"/>
        <charset val="204"/>
      </rPr>
      <t>Показник продукту</t>
    </r>
    <r>
      <rPr>
        <sz val="12"/>
        <rFont val="Times New Roman"/>
        <family val="1"/>
        <charset val="204"/>
      </rPr>
      <t>: кількість ЛВІН, які отримують ЗПТ, всього осіб, з них:</t>
    </r>
  </si>
  <si>
    <r>
      <rPr>
        <b/>
        <sz val="12"/>
        <rFont val="Times New Roman"/>
        <family val="1"/>
        <charset val="204"/>
      </rPr>
      <t>Показник продукту</t>
    </r>
    <r>
      <rPr>
        <sz val="12"/>
        <rFont val="Times New Roman"/>
        <family val="1"/>
        <charset val="204"/>
      </rPr>
      <t>: кількість ЛВІН, які отримують ЗПТ за кошти Державного бюджету</t>
    </r>
  </si>
  <si>
    <r>
      <rPr>
        <b/>
        <sz val="12"/>
        <rFont val="Times New Roman"/>
        <family val="1"/>
        <charset val="204"/>
      </rPr>
      <t>Показник продукту</t>
    </r>
    <r>
      <rPr>
        <sz val="12"/>
        <rFont val="Times New Roman"/>
        <family val="1"/>
        <charset val="204"/>
      </rPr>
      <t>: кількість ЛВІН, які отримують ЗПТ за інші кошти</t>
    </r>
  </si>
  <si>
    <r>
      <rPr>
        <b/>
        <sz val="12"/>
        <rFont val="Times New Roman"/>
        <family val="1"/>
        <charset val="204"/>
      </rPr>
      <t>Показник продукту</t>
    </r>
    <r>
      <rPr>
        <sz val="12"/>
        <rFont val="Times New Roman"/>
        <family val="1"/>
        <charset val="204"/>
      </rPr>
      <t>: кількість ЛВІН, які отримують ЗПТ за кошти бюджету міста Києва</t>
    </r>
  </si>
  <si>
    <r>
      <rPr>
        <b/>
        <sz val="12"/>
        <rFont val="Times New Roman"/>
        <family val="1"/>
        <charset val="204"/>
      </rPr>
      <t>Показник ефективності</t>
    </r>
    <r>
      <rPr>
        <sz val="12"/>
        <rFont val="Times New Roman"/>
        <family val="1"/>
        <charset val="204"/>
      </rPr>
      <t>: середні витрати на забезпечення ЗПТ на 1 хворого на рік, тис. грн.</t>
    </r>
  </si>
  <si>
    <r>
      <rPr>
        <b/>
        <sz val="12"/>
        <rFont val="Times New Roman"/>
        <family val="1"/>
        <charset val="204"/>
      </rPr>
      <t>Показник якості</t>
    </r>
    <r>
      <rPr>
        <sz val="12"/>
        <rFont val="Times New Roman"/>
        <family val="1"/>
        <charset val="204"/>
      </rPr>
      <t>: динаміка</t>
    </r>
    <r>
      <rPr>
        <i/>
        <sz val="12"/>
        <rFont val="Times New Roman"/>
        <family val="1"/>
        <charset val="204"/>
      </rPr>
      <t xml:space="preserve"> </t>
    </r>
    <r>
      <rPr>
        <sz val="12"/>
        <rFont val="Times New Roman"/>
        <family val="1"/>
        <charset val="204"/>
      </rPr>
      <t>зміни частки ЛВІН, які охоплені ЗПТ від кількост осіб, які перебувають під диспансерним наглядом унаслідок вживання опіоїдів, відносно базового показника 2016 року –16,9%</t>
    </r>
  </si>
  <si>
    <t>1.8.</t>
  </si>
  <si>
    <r>
      <rPr>
        <b/>
        <sz val="12"/>
        <color indexed="8"/>
        <rFont val="Times New Roman"/>
        <family val="1"/>
        <charset val="204"/>
      </rPr>
      <t>Показник продукту:</t>
    </r>
    <r>
      <rPr>
        <sz val="12"/>
        <color indexed="8"/>
        <rFont val="Times New Roman"/>
        <family val="1"/>
        <charset val="204"/>
      </rPr>
      <t xml:space="preserve"> кількість дітей першого року життя, народжених ВІЛ-інфікованими матерями, які забезпечені  адаптованими молочними сумішами, осіб</t>
    </r>
  </si>
  <si>
    <r>
      <rPr>
        <b/>
        <sz val="12"/>
        <color indexed="8"/>
        <rFont val="Times New Roman"/>
        <family val="1"/>
        <charset val="204"/>
      </rPr>
      <t>Показник ефективності</t>
    </r>
    <r>
      <rPr>
        <sz val="12"/>
        <color indexed="8"/>
        <rFont val="Times New Roman"/>
        <family val="1"/>
        <charset val="204"/>
      </rPr>
      <t>: вартість вигодування 1 дитини, народженої від ВІЛ-інфікованої жінки на рік, тис. грн.</t>
    </r>
  </si>
  <si>
    <t>Забезпечити реалізацію заходів, спрямованих на досягнення елімінації передачі ВІЛ від матері до дитини</t>
  </si>
  <si>
    <r>
      <rPr>
        <b/>
        <sz val="12"/>
        <color indexed="8"/>
        <rFont val="Times New Roman"/>
        <family val="1"/>
        <charset val="204"/>
      </rPr>
      <t>Показник продукту</t>
    </r>
    <r>
      <rPr>
        <sz val="12"/>
        <color indexed="8"/>
        <rFont val="Times New Roman"/>
        <family val="1"/>
        <charset val="204"/>
      </rPr>
      <t>: кількість дітей, які народжені від ВІЛ-інфікованих жінок, які  забезпечені антиретровірусними препаратами для профілактики передачі ВІЛ-інфекції від матері до дитини</t>
    </r>
  </si>
  <si>
    <t>Розвиток людських ресурсів: Забезпечити навчання соціальних працівників та волонтерів НУО, психологів, інших співробітників, які залучені до надання комплексних профілактичних послуг ГПР щодо інфікування ВІЛ</t>
  </si>
  <si>
    <t xml:space="preserve">Забезпечити доступне та ефективне тестування населення на ВІЛ у ЗОЗ та кабінетах Довіри за принципом "тестуй та реєструй" </t>
  </si>
  <si>
    <r>
      <t>Показник продукту:</t>
    </r>
    <r>
      <rPr>
        <sz val="12"/>
        <color indexed="8"/>
        <rFont val="Times New Roman"/>
        <family val="1"/>
        <charset val="204"/>
      </rPr>
      <t xml:space="preserve"> кількість</t>
    </r>
    <r>
      <rPr>
        <b/>
        <sz val="12"/>
        <color indexed="8"/>
        <rFont val="Times New Roman"/>
        <family val="1"/>
        <charset val="204"/>
      </rPr>
      <t xml:space="preserve"> </t>
    </r>
    <r>
      <rPr>
        <sz val="12"/>
        <color indexed="8"/>
        <rFont val="Times New Roman"/>
        <family val="1"/>
        <charset val="204"/>
      </rPr>
      <t>вагітних</t>
    </r>
    <r>
      <rPr>
        <b/>
        <sz val="12"/>
        <color indexed="8"/>
        <rFont val="Times New Roman"/>
        <family val="1"/>
        <charset val="204"/>
      </rPr>
      <t xml:space="preserve"> </t>
    </r>
    <r>
      <rPr>
        <sz val="12"/>
        <color indexed="8"/>
        <rFont val="Times New Roman"/>
        <family val="1"/>
        <charset val="204"/>
      </rPr>
      <t>жінок, охоплених обстеженням на ВІЛ-інфекцію, осіб</t>
    </r>
  </si>
  <si>
    <r>
      <t xml:space="preserve">Показник якості: </t>
    </r>
    <r>
      <rPr>
        <sz val="12"/>
        <color indexed="8"/>
        <rFont val="Times New Roman"/>
        <family val="1"/>
        <charset val="204"/>
      </rPr>
      <t>збільшення частки соціальних працівників, які пройшли навчання відносно базового рівня 70%</t>
    </r>
  </si>
  <si>
    <r>
      <t>Показник продукту:</t>
    </r>
    <r>
      <rPr>
        <sz val="12"/>
        <color indexed="8"/>
        <rFont val="Times New Roman"/>
        <family val="1"/>
        <charset val="204"/>
      </rPr>
      <t xml:space="preserve"> кількість осіб, які пройшли навчання з надання комплексних профілактичних послуг ГПР у щодо інфікування ВІЛ</t>
    </r>
  </si>
  <si>
    <r>
      <rPr>
        <b/>
        <sz val="12"/>
        <color indexed="8"/>
        <rFont val="Times New Roman"/>
        <family val="1"/>
        <charset val="204"/>
      </rPr>
      <t>Показник продукту</t>
    </r>
    <r>
      <rPr>
        <sz val="12"/>
        <color indexed="8"/>
        <rFont val="Times New Roman"/>
        <family val="1"/>
        <charset val="204"/>
      </rPr>
      <t>: кількість людей, які обстежені на ВІЛ-інфекцію</t>
    </r>
  </si>
  <si>
    <r>
      <rPr>
        <b/>
        <sz val="12"/>
        <color indexed="8"/>
        <rFont val="Times New Roman"/>
        <family val="1"/>
        <charset val="204"/>
      </rPr>
      <t>Показник продукту</t>
    </r>
    <r>
      <rPr>
        <sz val="12"/>
        <color indexed="8"/>
        <rFont val="Times New Roman"/>
        <family val="1"/>
        <charset val="204"/>
      </rPr>
      <t xml:space="preserve">: кількість виявлених випадків ВІЛ-інфекції  </t>
    </r>
  </si>
  <si>
    <r>
      <t xml:space="preserve">Показник затрат: </t>
    </r>
    <r>
      <rPr>
        <sz val="12"/>
        <color indexed="8"/>
        <rFont val="Times New Roman"/>
        <family val="1"/>
        <charset val="204"/>
      </rPr>
      <t>тис. грн.</t>
    </r>
  </si>
  <si>
    <r>
      <rPr>
        <b/>
        <sz val="12"/>
        <color indexed="8"/>
        <rFont val="Times New Roman"/>
        <family val="1"/>
        <charset val="204"/>
      </rPr>
      <t>Показник ефективності</t>
    </r>
    <r>
      <rPr>
        <sz val="12"/>
        <color indexed="8"/>
        <rFont val="Times New Roman"/>
        <family val="1"/>
        <charset val="204"/>
      </rPr>
      <t>: середня вартість виявлення 1 ЛЖВ у ЗОЗ, тис. грн.</t>
    </r>
  </si>
  <si>
    <r>
      <rPr>
        <b/>
        <sz val="12"/>
        <color indexed="8"/>
        <rFont val="Times New Roman"/>
        <family val="1"/>
        <charset val="204"/>
      </rPr>
      <t>Показник якості</t>
    </r>
    <r>
      <rPr>
        <sz val="12"/>
        <color indexed="8"/>
        <rFont val="Times New Roman"/>
        <family val="1"/>
        <charset val="204"/>
      </rPr>
      <t>: відсоток позитивних результатів тестування на ВІЛ-інфекції, %</t>
    </r>
  </si>
  <si>
    <r>
      <rPr>
        <b/>
        <sz val="12"/>
        <color indexed="8"/>
        <rFont val="Times New Roman"/>
        <family val="1"/>
        <charset val="204"/>
      </rPr>
      <t>Показник якості</t>
    </r>
    <r>
      <rPr>
        <sz val="12"/>
        <color indexed="8"/>
        <rFont val="Times New Roman"/>
        <family val="1"/>
        <charset val="204"/>
      </rPr>
      <t>: динаміка частки ЛЖВ, які знають свій ВІЛ-статус від оціночної чисельності ЛЖВ, відносно базового рівня - 47%</t>
    </r>
  </si>
  <si>
    <t xml:space="preserve"> Проведення міського дня тестування  на ВІЛ-інфекцію (щомісяця) в закладах охорони здоров'я, що засновані на комунальній власності територіальної громади міста Києва</t>
  </si>
  <si>
    <r>
      <rPr>
        <b/>
        <sz val="12"/>
        <color indexed="8"/>
        <rFont val="Times New Roman"/>
        <family val="1"/>
        <charset val="204"/>
      </rPr>
      <t>Показник продукту</t>
    </r>
    <r>
      <rPr>
        <sz val="12"/>
        <color indexed="8"/>
        <rFont val="Times New Roman"/>
        <family val="1"/>
        <charset val="204"/>
      </rPr>
      <t>: проведення міського дня тестування  на ВІЛ-інфекцію на рік, одиниць</t>
    </r>
  </si>
  <si>
    <r>
      <rPr>
        <b/>
        <sz val="12"/>
        <color indexed="8"/>
        <rFont val="Times New Roman"/>
        <family val="1"/>
        <charset val="204"/>
      </rPr>
      <t>Показник якості</t>
    </r>
    <r>
      <rPr>
        <sz val="12"/>
        <color indexed="8"/>
        <rFont val="Times New Roman"/>
        <family val="1"/>
        <charset val="204"/>
      </rPr>
      <t>: динаміка кількості людей, які обстежені під час проведення міського дня  тестування  на ВІЛ-інфекцію (базовий показник – 0), осіб</t>
    </r>
  </si>
  <si>
    <t xml:space="preserve">Забезпечити високий рівень результативності профілактичної роботи громадських організацій в частині виявлення ВІЛ серед осіб, що належать до ГПР </t>
  </si>
  <si>
    <t>Проведення якості досліджень з використанням швидких тестів</t>
  </si>
  <si>
    <t>Забезпечити навчання медичних працівників навичкам ПТВ, для проведення скринінгу населення на ВІЛ на базі:</t>
  </si>
  <si>
    <r>
      <rPr>
        <b/>
        <sz val="12"/>
        <rFont val="Times New Roman"/>
        <family val="1"/>
        <charset val="204"/>
      </rPr>
      <t>Показник затрат:</t>
    </r>
    <r>
      <rPr>
        <sz val="12"/>
        <rFont val="Times New Roman"/>
        <family val="1"/>
        <charset val="204"/>
      </rPr>
      <t xml:space="preserve"> тис. грн.</t>
    </r>
  </si>
  <si>
    <r>
      <rPr>
        <b/>
        <sz val="12"/>
        <rFont val="Times New Roman"/>
        <family val="1"/>
        <charset val="204"/>
      </rPr>
      <t>Показник продукту</t>
    </r>
    <r>
      <rPr>
        <sz val="12"/>
        <rFont val="Times New Roman"/>
        <family val="1"/>
        <charset val="204"/>
      </rPr>
      <t>: кількість лікарів закладів охорони здоров’я ПМСД, які впродовж року пройшли навчання з питань застосування у практиці навичок з ПТВ</t>
    </r>
  </si>
  <si>
    <r>
      <rPr>
        <b/>
        <sz val="12"/>
        <rFont val="Times New Roman"/>
        <family val="1"/>
        <charset val="204"/>
      </rPr>
      <t>Показник ефективності</t>
    </r>
    <r>
      <rPr>
        <sz val="12"/>
        <rFont val="Times New Roman"/>
        <family val="1"/>
        <charset val="204"/>
      </rPr>
      <t>: середні витрати на навчання 1 лікаря, тис. грн.</t>
    </r>
  </si>
  <si>
    <r>
      <rPr>
        <b/>
        <sz val="12"/>
        <rFont val="Times New Roman"/>
        <family val="1"/>
        <charset val="204"/>
      </rPr>
      <t>Показник якості</t>
    </r>
    <r>
      <rPr>
        <sz val="12"/>
        <rFont val="Times New Roman"/>
        <family val="1"/>
        <charset val="204"/>
      </rPr>
      <t>: динаміка кількості закладів охорони здоров’я ПМСД, які здійснюють скринінг населення на ВІЛ, %</t>
    </r>
  </si>
  <si>
    <r>
      <rPr>
        <b/>
        <sz val="12"/>
        <rFont val="Times New Roman"/>
        <family val="1"/>
        <charset val="204"/>
      </rPr>
      <t>Показник затрат</t>
    </r>
    <r>
      <rPr>
        <sz val="12"/>
        <rFont val="Times New Roman"/>
        <family val="1"/>
        <charset val="204"/>
      </rPr>
      <t>: тис. грн.</t>
    </r>
  </si>
  <si>
    <r>
      <rPr>
        <b/>
        <sz val="12"/>
        <rFont val="Times New Roman"/>
        <family val="1"/>
        <charset val="204"/>
      </rPr>
      <t>Показник продукту</t>
    </r>
    <r>
      <rPr>
        <sz val="12"/>
        <rFont val="Times New Roman"/>
        <family val="1"/>
        <charset val="204"/>
      </rPr>
      <t>: кількість лікарів закладів охорони здоров’я вторинного та третинного рівня, які впродовж року пройшли навчання з питань застосування у практиці навичок з ПТВ</t>
    </r>
  </si>
  <si>
    <t>Запровадити ефективну систему залучення до системи медичного нагляду осіб, у разі виявлення у них ВІЛ-інфекції при зверненні за медичною допомогою та при тестування на базі громадських організацій</t>
  </si>
  <si>
    <t>Проведення підтверджуючих досліджень у разі отримання позитивного результату тестування на ВІЛ</t>
  </si>
  <si>
    <r>
      <rPr>
        <b/>
        <sz val="12"/>
        <color indexed="8"/>
        <rFont val="Times New Roman"/>
        <family val="1"/>
        <charset val="204"/>
      </rPr>
      <t xml:space="preserve">Показник затрат </t>
    </r>
    <r>
      <rPr>
        <sz val="12"/>
        <color indexed="8"/>
        <rFont val="Times New Roman"/>
        <family val="1"/>
        <charset val="204"/>
      </rPr>
      <t>(ДБ), тис. грн</t>
    </r>
  </si>
  <si>
    <r>
      <rPr>
        <b/>
        <sz val="12"/>
        <color indexed="8"/>
        <rFont val="Times New Roman"/>
        <family val="1"/>
        <charset val="204"/>
      </rPr>
      <t>Показник продукту</t>
    </r>
    <r>
      <rPr>
        <sz val="12"/>
        <color indexed="8"/>
        <rFont val="Times New Roman"/>
        <family val="1"/>
        <charset val="204"/>
      </rPr>
      <t xml:space="preserve">: кількість осіб, якім проведено лабораторне підтвердження ВІЛ-інфекції (за кошти Державного бюджету), осіб </t>
    </r>
  </si>
  <si>
    <r>
      <rPr>
        <b/>
        <sz val="12"/>
        <color indexed="8"/>
        <rFont val="Times New Roman"/>
        <family val="1"/>
        <charset val="204"/>
      </rPr>
      <t>Показник затрат</t>
    </r>
    <r>
      <rPr>
        <sz val="12"/>
        <color indexed="8"/>
        <rFont val="Times New Roman"/>
        <family val="1"/>
        <charset val="204"/>
      </rPr>
      <t xml:space="preserve"> (МБ), тис. грн</t>
    </r>
  </si>
  <si>
    <r>
      <rPr>
        <b/>
        <sz val="12"/>
        <color indexed="8"/>
        <rFont val="Times New Roman"/>
        <family val="1"/>
        <charset val="204"/>
      </rPr>
      <t>Показник продукту</t>
    </r>
    <r>
      <rPr>
        <sz val="12"/>
        <color indexed="8"/>
        <rFont val="Times New Roman"/>
        <family val="1"/>
        <charset val="204"/>
      </rPr>
      <t xml:space="preserve">: кількість осіб, якім проведено лабораторне підтвердження ВІЛ-інфекції за кошти бюджету м. Києва, осіб </t>
    </r>
  </si>
  <si>
    <r>
      <rPr>
        <b/>
        <sz val="12"/>
        <color indexed="8"/>
        <rFont val="Times New Roman"/>
        <family val="1"/>
        <charset val="204"/>
      </rPr>
      <t>Показник продукту</t>
    </r>
    <r>
      <rPr>
        <sz val="12"/>
        <color indexed="8"/>
        <rFont val="Times New Roman"/>
        <family val="1"/>
        <charset val="204"/>
      </rPr>
      <t>: кількість зареєстрованих нових випадків ВІЛ-інфекції</t>
    </r>
  </si>
  <si>
    <r>
      <rPr>
        <b/>
        <sz val="12"/>
        <color indexed="8"/>
        <rFont val="Times New Roman"/>
        <family val="1"/>
        <charset val="204"/>
      </rPr>
      <t>Показник ефективності</t>
    </r>
    <r>
      <rPr>
        <sz val="12"/>
        <color indexed="8"/>
        <rFont val="Times New Roman"/>
        <family val="1"/>
        <charset val="204"/>
      </rPr>
      <t>: середні витрати на реєстрацію 1 випадку ВІЛ-інфекції, тис. грн.</t>
    </r>
  </si>
  <si>
    <r>
      <rPr>
        <b/>
        <sz val="12"/>
        <color indexed="8"/>
        <rFont val="Times New Roman"/>
        <family val="1"/>
        <charset val="204"/>
      </rPr>
      <t>Показник якості</t>
    </r>
    <r>
      <rPr>
        <sz val="12"/>
        <color indexed="8"/>
        <rFont val="Times New Roman"/>
        <family val="1"/>
        <charset val="204"/>
      </rPr>
      <t>: динаміка показника охоплення ЛЖВ від кількості виявлених осіб, %</t>
    </r>
  </si>
  <si>
    <r>
      <rPr>
        <b/>
        <sz val="12"/>
        <color indexed="8"/>
        <rFont val="Times New Roman"/>
        <family val="1"/>
        <charset val="204"/>
      </rPr>
      <t>Показник якості</t>
    </r>
    <r>
      <rPr>
        <sz val="12"/>
        <color indexed="8"/>
        <rFont val="Times New Roman"/>
        <family val="1"/>
        <charset val="204"/>
      </rPr>
      <t xml:space="preserve">: загальна чисельність ЛЖВ, які знають свій статус </t>
    </r>
  </si>
  <si>
    <r>
      <rPr>
        <b/>
        <sz val="12"/>
        <color indexed="8"/>
        <rFont val="Times New Roman"/>
        <family val="1"/>
        <charset val="204"/>
      </rPr>
      <t>Показник якості</t>
    </r>
    <r>
      <rPr>
        <sz val="12"/>
        <color indexed="8"/>
        <rFont val="Times New Roman"/>
        <family val="1"/>
        <charset val="204"/>
      </rPr>
      <t xml:space="preserve">: динаміка частки ЛЖВ,  які знають свій ВІЛ-статус (від оціночної чисельності ЛЖВ), відносно базового рівня - 47% </t>
    </r>
  </si>
  <si>
    <t>Охоплення медичним спостереженням осіб, яким встановлено діагноз ВІЛ/СНІД під час перебування на стаціонарному лікуванні у ЗОЗ</t>
  </si>
  <si>
    <r>
      <rPr>
        <b/>
        <sz val="12"/>
        <color indexed="8"/>
        <rFont val="Times New Roman"/>
        <family val="1"/>
        <charset val="204"/>
      </rPr>
      <t>Показник продукту</t>
    </r>
    <r>
      <rPr>
        <sz val="12"/>
        <color indexed="8"/>
        <rFont val="Times New Roman"/>
        <family val="1"/>
        <charset val="204"/>
      </rPr>
      <t xml:space="preserve">: кількість осіб, у яких діагностовано ВІЛ-інфекцію під час перебування на стаціонарному лікуванні </t>
    </r>
  </si>
  <si>
    <r>
      <rPr>
        <b/>
        <sz val="12"/>
        <color indexed="8"/>
        <rFont val="Times New Roman"/>
        <family val="1"/>
        <charset val="204"/>
      </rPr>
      <t>Показник продукту</t>
    </r>
    <r>
      <rPr>
        <sz val="12"/>
        <color indexed="8"/>
        <rFont val="Times New Roman"/>
        <family val="1"/>
        <charset val="204"/>
      </rPr>
      <t>: кількість ЛЖВ  з вперше встановленим діагнозом, які взяті під медичне спостереження лікарем-інфекціоністом за місцем проживання</t>
    </r>
  </si>
  <si>
    <r>
      <rPr>
        <b/>
        <sz val="12"/>
        <color indexed="8"/>
        <rFont val="Times New Roman"/>
        <family val="1"/>
        <charset val="204"/>
      </rPr>
      <t>Показник якості:</t>
    </r>
    <r>
      <rPr>
        <sz val="12"/>
        <color indexed="8"/>
        <rFont val="Times New Roman"/>
        <family val="1"/>
        <charset val="204"/>
      </rPr>
      <t xml:space="preserve"> динаміка частки осіб, які спостерігаються з приводу ВІЛ-інфекції за місцем проживання (на базі КІЗ) від кількості ЛЖВ, зареєстрованих на даній адміністративно-територіальній одинці. Базовий показник – 0%</t>
    </r>
  </si>
  <si>
    <t>Забезпечення супроводу соціальними працівниками НУО представників груп підвищеного ризику щодо інфікування ВІЛ (у разі виявлення у них ВІЛ-інфекції) до закладів охорони здоров’я, які надають медичну допомогу у зв’язку із ВІЛ-інфекцією</t>
  </si>
  <si>
    <r>
      <rPr>
        <b/>
        <sz val="12"/>
        <color indexed="8"/>
        <rFont val="Times New Roman"/>
        <family val="1"/>
        <charset val="204"/>
      </rPr>
      <t>Показник затрат</t>
    </r>
    <r>
      <rPr>
        <sz val="12"/>
        <color indexed="8"/>
        <rFont val="Times New Roman"/>
        <family val="1"/>
        <charset val="204"/>
      </rPr>
      <t>: тис. грн.</t>
    </r>
  </si>
  <si>
    <r>
      <rPr>
        <b/>
        <sz val="12"/>
        <color indexed="8"/>
        <rFont val="Times New Roman"/>
        <family val="1"/>
        <charset val="204"/>
      </rPr>
      <t>Показник продукту</t>
    </r>
    <r>
      <rPr>
        <sz val="12"/>
        <color indexed="8"/>
        <rFont val="Times New Roman"/>
        <family val="1"/>
        <charset val="204"/>
      </rPr>
      <t>: кількість ЛЖВ з числа ГПР, які звернулися за направленням НУО для отриманням допомоги</t>
    </r>
  </si>
  <si>
    <r>
      <rPr>
        <b/>
        <sz val="12"/>
        <color indexed="8"/>
        <rFont val="Times New Roman"/>
        <family val="1"/>
        <charset val="204"/>
      </rPr>
      <t>Показник ефективності</t>
    </r>
    <r>
      <rPr>
        <sz val="12"/>
        <color indexed="8"/>
        <rFont val="Times New Roman"/>
        <family val="1"/>
        <charset val="204"/>
      </rPr>
      <t xml:space="preserve">: вартість витрат на супровід ЛЖВ до закладу медичного здоров’я  </t>
    </r>
  </si>
  <si>
    <r>
      <rPr>
        <b/>
        <sz val="12"/>
        <color indexed="8"/>
        <rFont val="Times New Roman"/>
        <family val="1"/>
        <charset val="204"/>
      </rPr>
      <t>Показник якості:</t>
    </r>
    <r>
      <rPr>
        <sz val="12"/>
        <color indexed="8"/>
        <rFont val="Times New Roman"/>
        <family val="1"/>
        <charset val="204"/>
      </rPr>
      <t xml:space="preserve"> динаміка частки ЛЖВ, які звернулися до закладу за направленням НУО. Базовий показник 60%.</t>
    </r>
  </si>
  <si>
    <t>Скорочення термінів взяття ЛЖВ під медичний нагляд у разі виявлення ВІЛ-інфекції</t>
  </si>
  <si>
    <r>
      <rPr>
        <b/>
        <sz val="12"/>
        <rFont val="Times New Roman"/>
        <family val="1"/>
        <charset val="204"/>
      </rPr>
      <t>Показник продукту</t>
    </r>
    <r>
      <rPr>
        <sz val="12"/>
        <rFont val="Times New Roman"/>
        <family val="1"/>
        <charset val="204"/>
      </rPr>
      <t>: кількість ЛЖВ, яких було взято під медичний нагляд у день первинного звернення з приводу діагностованої ВІЛ-інфекції</t>
    </r>
  </si>
  <si>
    <r>
      <rPr>
        <b/>
        <sz val="12"/>
        <rFont val="Times New Roman"/>
        <family val="1"/>
        <charset val="204"/>
      </rPr>
      <t>Показник якості</t>
    </r>
    <r>
      <rPr>
        <sz val="12"/>
        <rFont val="Times New Roman"/>
        <family val="1"/>
        <charset val="204"/>
      </rPr>
      <t>: динаміка частки ЛЖВ, яких було взято під медичний нагляд впродовж 1 дня Базовий показник – 5%</t>
    </r>
  </si>
  <si>
    <t>Забезпечити діагностику опортуністичних інфекцій у ЛЖВ при взятті під медичний нагляд</t>
  </si>
  <si>
    <r>
      <rPr>
        <b/>
        <sz val="12"/>
        <color indexed="8"/>
        <rFont val="Times New Roman"/>
        <family val="1"/>
        <charset val="204"/>
      </rPr>
      <t>Показник затрат</t>
    </r>
    <r>
      <rPr>
        <sz val="12"/>
        <color indexed="8"/>
        <rFont val="Times New Roman"/>
        <family val="1"/>
        <charset val="204"/>
      </rPr>
      <t xml:space="preserve">: тис. грн. </t>
    </r>
  </si>
  <si>
    <r>
      <rPr>
        <b/>
        <sz val="12"/>
        <color indexed="8"/>
        <rFont val="Times New Roman"/>
        <family val="1"/>
        <charset val="204"/>
      </rPr>
      <t>Показник продукту:</t>
    </r>
    <r>
      <rPr>
        <sz val="12"/>
        <color indexed="8"/>
        <rFont val="Times New Roman"/>
        <family val="1"/>
        <charset val="204"/>
      </rPr>
      <t xml:space="preserve"> кількість ЛЖВ, які обстежені на опортуністичні інфекції при взятті під медичний нагляд </t>
    </r>
  </si>
  <si>
    <r>
      <rPr>
        <b/>
        <sz val="12"/>
        <color indexed="8"/>
        <rFont val="Times New Roman"/>
        <family val="1"/>
        <charset val="204"/>
      </rPr>
      <t>Показник ефективності</t>
    </r>
    <r>
      <rPr>
        <sz val="12"/>
        <color indexed="8"/>
        <rFont val="Times New Roman"/>
        <family val="1"/>
        <charset val="204"/>
      </rPr>
      <t xml:space="preserve">: середня вартість лабораторного обстеження на опортуністичні інфекції 1 первинного пацієнта </t>
    </r>
  </si>
  <si>
    <r>
      <rPr>
        <b/>
        <sz val="12"/>
        <color indexed="8"/>
        <rFont val="Times New Roman"/>
        <family val="1"/>
        <charset val="204"/>
      </rPr>
      <t>Показник якості:</t>
    </r>
    <r>
      <rPr>
        <sz val="12"/>
        <color indexed="8"/>
        <rFont val="Times New Roman"/>
        <family val="1"/>
        <charset val="204"/>
      </rPr>
      <t xml:space="preserve"> динаміка частки ЛЖВ, які  обстежені на опортуністичні інфекції від числа взятих під медичний нагляд. Базовий рівень показника – 30% </t>
    </r>
  </si>
  <si>
    <r>
      <t xml:space="preserve">Показник продукту: </t>
    </r>
    <r>
      <rPr>
        <sz val="12"/>
        <color indexed="8"/>
        <rFont val="Times New Roman"/>
        <family val="1"/>
        <charset val="204"/>
      </rPr>
      <t xml:space="preserve">кількість ЛЖВ, які охоплені клініко-лабораторним обстеженням </t>
    </r>
  </si>
  <si>
    <r>
      <t xml:space="preserve">Показник ефективності: </t>
    </r>
    <r>
      <rPr>
        <sz val="12"/>
        <color indexed="8"/>
        <rFont val="Times New Roman"/>
        <family val="1"/>
        <charset val="204"/>
      </rPr>
      <t>середня вартість клініко-лабораторного  обстеження 1 ЛЖВ при взятті під медичний нагляд</t>
    </r>
  </si>
  <si>
    <r>
      <t xml:space="preserve">Показник якості: </t>
    </r>
    <r>
      <rPr>
        <sz val="12"/>
        <color indexed="8"/>
        <rFont val="Times New Roman"/>
        <family val="1"/>
        <charset val="204"/>
      </rPr>
      <t>динаміка охоплення клініко-лабораторним обстеженням ЛЖВ при взятті під медичний нагляд. Базовий рівень показника 80%</t>
    </r>
  </si>
  <si>
    <t xml:space="preserve"> Забезпечити профілактику та лікування опортуністичних інфекцій у ЛЖВ, з них:</t>
  </si>
  <si>
    <r>
      <t xml:space="preserve">Показник затрат: </t>
    </r>
    <r>
      <rPr>
        <sz val="12"/>
        <color indexed="8"/>
        <rFont val="Times New Roman"/>
        <family val="1"/>
        <charset val="204"/>
      </rPr>
      <t>тис. грн.</t>
    </r>
  </si>
  <si>
    <r>
      <rPr>
        <b/>
        <sz val="12"/>
        <rFont val="Times New Roman"/>
        <family val="1"/>
        <charset val="204"/>
      </rPr>
      <t>Показник продукту</t>
    </r>
    <r>
      <rPr>
        <sz val="12"/>
        <rFont val="Times New Roman"/>
        <family val="1"/>
        <charset val="204"/>
      </rPr>
      <t>: кількість ЛЖВ, які отримали профілактику туберкульозу</t>
    </r>
  </si>
  <si>
    <r>
      <rPr>
        <b/>
        <sz val="12"/>
        <rFont val="Times New Roman"/>
        <family val="1"/>
        <charset val="204"/>
      </rPr>
      <t>Показник продукту</t>
    </r>
    <r>
      <rPr>
        <sz val="12"/>
        <rFont val="Times New Roman"/>
        <family val="1"/>
        <charset val="204"/>
      </rPr>
      <t>: кількість ЛЖВ, які отримали профілактику пневмоцистної пневмонії</t>
    </r>
  </si>
  <si>
    <r>
      <rPr>
        <b/>
        <sz val="12"/>
        <rFont val="Times New Roman"/>
        <family val="1"/>
        <charset val="204"/>
      </rPr>
      <t>Показник продукту:</t>
    </r>
    <r>
      <rPr>
        <sz val="12"/>
        <rFont val="Times New Roman"/>
        <family val="1"/>
        <charset val="204"/>
      </rPr>
      <t xml:space="preserve"> кількість ЛЖВ, які отримали профілактику криптококозу</t>
    </r>
  </si>
  <si>
    <r>
      <rPr>
        <b/>
        <sz val="12"/>
        <rFont val="Times New Roman"/>
        <family val="1"/>
        <charset val="204"/>
      </rPr>
      <t>Показник продукту</t>
    </r>
    <r>
      <rPr>
        <sz val="12"/>
        <rFont val="Times New Roman"/>
        <family val="1"/>
        <charset val="204"/>
      </rPr>
      <t>: кількість ЛЖВ, які отримали профілактику атипових мікобактеріозів</t>
    </r>
  </si>
  <si>
    <r>
      <t xml:space="preserve">Показник продукту: </t>
    </r>
    <r>
      <rPr>
        <sz val="12"/>
        <color indexed="8"/>
        <rFont val="Times New Roman"/>
        <family val="1"/>
        <charset val="204"/>
      </rPr>
      <t>кількість ЛЖВ, які отримали лікування опортуністичних інфекцій</t>
    </r>
  </si>
  <si>
    <r>
      <t xml:space="preserve">Показник ефективності: </t>
    </r>
    <r>
      <rPr>
        <sz val="12"/>
        <color indexed="8"/>
        <rFont val="Times New Roman"/>
        <family val="1"/>
        <charset val="204"/>
      </rPr>
      <t xml:space="preserve">середня вартість профілактики і лікування опортуністичних інфекцій на 1 ЛЖВ на рік, тис. грн. </t>
    </r>
  </si>
  <si>
    <r>
      <t xml:space="preserve">Показник якості: </t>
    </r>
    <r>
      <rPr>
        <sz val="12"/>
        <color indexed="8"/>
        <rFont val="Times New Roman"/>
        <family val="1"/>
        <charset val="204"/>
      </rPr>
      <t>динаміка частки ЛЖВ, які охоплені профілактикою та лікуванням опортуністичних інфекцій за кошти бюджету міста Києва. Базовий рівень показника - 10%</t>
    </r>
  </si>
  <si>
    <t>Забезпечити навчання та підвищення кваліфікації лікарів-інфекціоністів закладів охорони здоров’я вторинного рівня надання медичної допомоги з питань діагностики та лікування ВІЛ-інфекції/СНІДу</t>
  </si>
  <si>
    <r>
      <t xml:space="preserve">Показники продукту: </t>
    </r>
    <r>
      <rPr>
        <sz val="12"/>
        <color indexed="8"/>
        <rFont val="Times New Roman"/>
        <family val="1"/>
        <charset val="204"/>
      </rPr>
      <t>кількість лікарів-інфекціоністів закладів охорони здоров’я вторинного рівня надання медичної допомоги які пройшли навчання з питань діагностики та лікування ВІЛ-інфекції/СНІДу, осіб</t>
    </r>
  </si>
  <si>
    <r>
      <t xml:space="preserve">Показник ефективності: </t>
    </r>
    <r>
      <rPr>
        <sz val="12"/>
        <color indexed="8"/>
        <rFont val="Times New Roman"/>
        <family val="1"/>
        <charset val="204"/>
      </rPr>
      <t xml:space="preserve">середня вартість навчання, тис. грн. </t>
    </r>
  </si>
  <si>
    <r>
      <t xml:space="preserve">Показник якості: </t>
    </r>
    <r>
      <rPr>
        <sz val="12"/>
        <color indexed="8"/>
        <rFont val="Times New Roman"/>
        <family val="1"/>
        <charset val="204"/>
      </rPr>
      <t>динаміка показника відсотка лікарів-інфекціоністів ЗОЗ вторинного рівня надання медичної допомоги, які мають відповідну підготовку з питань діагностики та лікування ВІЛ-інфекції/СНІДу. Базовий рівень – 3%</t>
    </r>
  </si>
  <si>
    <t xml:space="preserve"> Прискорити розширення доступу ЛЖВ до антиретровірусної терапії (АРТ)</t>
  </si>
  <si>
    <t xml:space="preserve">Продовження та залучення до АРТ пацієнтів, які перебувають під медичним наглядом в Київському міському центрі профілактики та боротьби зі СНІДом </t>
  </si>
  <si>
    <r>
      <t xml:space="preserve">Показник продукту: </t>
    </r>
    <r>
      <rPr>
        <sz val="12"/>
        <rFont val="Times New Roman"/>
        <family val="1"/>
        <charset val="204"/>
      </rPr>
      <t>чисельність ЛЖВ, які отримують АРТ</t>
    </r>
  </si>
  <si>
    <r>
      <t xml:space="preserve">Показник продукту: </t>
    </r>
    <r>
      <rPr>
        <sz val="12"/>
        <rFont val="Times New Roman"/>
        <family val="1"/>
        <charset val="204"/>
      </rPr>
      <t>чисельність ЛЖВ, яким призначено АРТ, осіб</t>
    </r>
  </si>
  <si>
    <r>
      <t xml:space="preserve">Показник якості: </t>
    </r>
    <r>
      <rPr>
        <sz val="12"/>
        <rFont val="Times New Roman"/>
        <family val="1"/>
        <charset val="204"/>
      </rPr>
      <t>динаміка частки людей, які знають свій позитивний ВІЛ-статус, і отримують лікування (відносно базового показника 60,7%)</t>
    </r>
  </si>
  <si>
    <t>Призначення АРТ (базових схем І ряду) лікарями-інфекціоністами за місцем проживання пацієнта</t>
  </si>
  <si>
    <r>
      <t xml:space="preserve">Показник продукту: </t>
    </r>
    <r>
      <rPr>
        <sz val="12"/>
        <rFont val="Times New Roman"/>
        <family val="1"/>
        <charset val="204"/>
      </rPr>
      <t>число ЛЖВ, яким було призначено базові схеми АРТ за місцем проживання, осіб</t>
    </r>
  </si>
  <si>
    <r>
      <t xml:space="preserve">Показник якості: </t>
    </r>
    <r>
      <rPr>
        <sz val="12"/>
        <rFont val="Times New Roman"/>
        <family val="1"/>
        <charset val="204"/>
      </rPr>
      <t>динаміка частки ЛЖВ з числа вперше виявлених, яким призначено АРТ лікарем-інфекціоністом за місцем проживання. Базовий рівень показника – 0%</t>
    </r>
  </si>
  <si>
    <t>Видача антиретровірусних препаратів за місцем проживання пацієнта</t>
  </si>
  <si>
    <r>
      <t xml:space="preserve">Показник продукту: </t>
    </r>
    <r>
      <rPr>
        <sz val="12"/>
        <rFont val="Times New Roman"/>
        <family val="1"/>
        <charset val="204"/>
      </rPr>
      <t>число ЛЖВ, які отримують АРТ за місцем проживання, осіб</t>
    </r>
  </si>
  <si>
    <r>
      <t xml:space="preserve">Показник якості: </t>
    </r>
    <r>
      <rPr>
        <sz val="12"/>
        <rFont val="Times New Roman"/>
        <family val="1"/>
        <charset val="204"/>
      </rPr>
      <t>динаміка частки ЛЖВ, які отримують препарати АРТ за місцем проживання. Базовий рівень показника – 40%</t>
    </r>
  </si>
  <si>
    <t xml:space="preserve"> Оптимізувати процес видачі антиретровірусних препаратів (далі - АРВП) шляхом запровадження рецептурної безкоштовної видачі ЛЖВ антиретровірусних препаратів через аптечну мережу (2017 р. - пілотний проект) </t>
  </si>
  <si>
    <r>
      <t xml:space="preserve">Показник продукту: </t>
    </r>
    <r>
      <rPr>
        <sz val="12"/>
        <rFont val="Times New Roman"/>
        <family val="1"/>
        <charset val="204"/>
      </rPr>
      <t>кількість аптечних закладів та чисельність ЛЖВ, які отримують у них АРВП (моніторинг запровадження)</t>
    </r>
  </si>
  <si>
    <r>
      <t xml:space="preserve">Показник ефективності: </t>
    </r>
    <r>
      <rPr>
        <sz val="12"/>
        <rFont val="Times New Roman"/>
        <family val="1"/>
        <charset val="204"/>
      </rPr>
      <t xml:space="preserve">середня вартість послуг на 1 ЛЖВ на рік для отримання препаратів в аптеці, тис. грн. </t>
    </r>
  </si>
  <si>
    <r>
      <t xml:space="preserve">Показник якості: </t>
    </r>
    <r>
      <rPr>
        <sz val="12"/>
        <rFont val="Times New Roman"/>
        <family val="1"/>
        <charset val="204"/>
      </rPr>
      <t>динамика частки ЛЖВ, які отримують ліки через аптечну мережу, %. Базовий рівень - 0%</t>
    </r>
  </si>
  <si>
    <t>4.4.</t>
  </si>
  <si>
    <t>Забезпечити соціальний супровід ЛЖВ (насамперед представників груп підвищеного ризику щодо інфікування ВІЛ) силами НУО та Київського міського центру соціальних служб для дітей, сім’ї і молоді для отримання АРТ</t>
  </si>
  <si>
    <r>
      <t xml:space="preserve">Показник затрат, </t>
    </r>
    <r>
      <rPr>
        <sz val="12"/>
        <rFont val="Times New Roman"/>
        <family val="1"/>
        <charset val="204"/>
      </rPr>
      <t xml:space="preserve">тис. грн. </t>
    </r>
  </si>
  <si>
    <r>
      <t xml:space="preserve">Показник затрат: </t>
    </r>
    <r>
      <rPr>
        <sz val="12"/>
        <rFont val="Times New Roman"/>
        <family val="1"/>
        <charset val="204"/>
      </rPr>
      <t>тис. грн.</t>
    </r>
  </si>
  <si>
    <r>
      <t xml:space="preserve">Показник продукту: </t>
    </r>
    <r>
      <rPr>
        <sz val="12"/>
        <rFont val="Times New Roman"/>
        <family val="1"/>
        <charset val="204"/>
      </rPr>
      <t>кількість ЛЖВ, які отримують соціальний супровід</t>
    </r>
  </si>
  <si>
    <r>
      <t xml:space="preserve">Показник ефективності: </t>
    </r>
    <r>
      <rPr>
        <sz val="12"/>
        <rFont val="Times New Roman"/>
        <family val="1"/>
        <charset val="204"/>
      </rPr>
      <t>річна вартість соціального супроводу 1 ЛЖВ, тис. грн.</t>
    </r>
  </si>
  <si>
    <r>
      <t xml:space="preserve">Показник якості: </t>
    </r>
    <r>
      <rPr>
        <sz val="12"/>
        <rFont val="Times New Roman"/>
        <family val="1"/>
        <charset val="204"/>
      </rPr>
      <t>динаміка показника охоплення ЛЖВ, які перебувають під медичним спостереженням, соціальним супроводом відносно базового рівня – 44%</t>
    </r>
  </si>
  <si>
    <r>
      <t>Показник затрат,</t>
    </r>
    <r>
      <rPr>
        <sz val="12"/>
        <rFont val="Times New Roman"/>
        <family val="1"/>
        <charset val="204"/>
      </rPr>
      <t xml:space="preserve"> тис. грн.</t>
    </r>
  </si>
  <si>
    <t>Визначення рівня вірусного навантаження (ВН)</t>
  </si>
  <si>
    <r>
      <rPr>
        <b/>
        <sz val="12"/>
        <rFont val="Times New Roman"/>
        <family val="1"/>
        <charset val="204"/>
      </rPr>
      <t>Показник продукту</t>
    </r>
    <r>
      <rPr>
        <sz val="12"/>
        <rFont val="Times New Roman"/>
        <family val="1"/>
        <charset val="204"/>
      </rPr>
      <t>: чисельність ЛЖВ, у яких визначено рівень вірусного навантаження, осіб (МБ)</t>
    </r>
  </si>
  <si>
    <r>
      <rPr>
        <b/>
        <sz val="12"/>
        <rFont val="Times New Roman"/>
        <family val="1"/>
        <charset val="204"/>
      </rPr>
      <t>Показник продукту</t>
    </r>
    <r>
      <rPr>
        <sz val="12"/>
        <rFont val="Times New Roman"/>
        <family val="1"/>
        <charset val="204"/>
      </rPr>
      <t>: чисельність ЛЖВ, у яких визначено рівень вірусного навантаження, осіб (ДБ)</t>
    </r>
  </si>
  <si>
    <t>Визначення рівня CD4</t>
  </si>
  <si>
    <t>Біохімічні дослідження крові</t>
  </si>
  <si>
    <t>Діагностика опортуністичних інфекцій при прогресуючій ВІЛ-інфекції</t>
  </si>
  <si>
    <t>Гематологічні дослідження</t>
  </si>
  <si>
    <r>
      <rPr>
        <b/>
        <sz val="12"/>
        <rFont val="Times New Roman"/>
        <family val="1"/>
        <charset val="204"/>
      </rPr>
      <t>Показник продукту</t>
    </r>
    <r>
      <rPr>
        <sz val="12"/>
        <rFont val="Times New Roman"/>
        <family val="1"/>
        <charset val="204"/>
      </rPr>
      <t xml:space="preserve">: чисельність ЛЖВ, у яких визначено рівень CD4, осіб </t>
    </r>
  </si>
  <si>
    <r>
      <rPr>
        <b/>
        <sz val="12"/>
        <rFont val="Times New Roman"/>
        <family val="1"/>
        <charset val="204"/>
      </rPr>
      <t>Показник продукту</t>
    </r>
    <r>
      <rPr>
        <sz val="12"/>
        <rFont val="Times New Roman"/>
        <family val="1"/>
        <charset val="204"/>
      </rPr>
      <t>: чисельність ЛЖВ, яким проведено гематологічні дослідження, осіб</t>
    </r>
  </si>
  <si>
    <r>
      <rPr>
        <b/>
        <sz val="12"/>
        <rFont val="Times New Roman"/>
        <family val="1"/>
        <charset val="204"/>
      </rPr>
      <t>Показник продукту</t>
    </r>
    <r>
      <rPr>
        <sz val="12"/>
        <rFont val="Times New Roman"/>
        <family val="1"/>
        <charset val="204"/>
      </rPr>
      <t>: чисельність ЛЖВ, яким проведено біохімічні дослідження крові, осіб</t>
    </r>
  </si>
  <si>
    <r>
      <rPr>
        <b/>
        <sz val="12"/>
        <rFont val="Times New Roman"/>
        <family val="1"/>
        <charset val="204"/>
      </rPr>
      <t>Показник продукту</t>
    </r>
    <r>
      <rPr>
        <sz val="12"/>
        <rFont val="Times New Roman"/>
        <family val="1"/>
        <charset val="204"/>
      </rPr>
      <t xml:space="preserve">: чисельність ЛЖВ, які охоплені діагностикою опортуністичних інфекцій при прогресуючій ВІЛ-інфекції, осіб </t>
    </r>
  </si>
  <si>
    <r>
      <t xml:space="preserve">Показник ефективності: </t>
    </r>
    <r>
      <rPr>
        <sz val="12"/>
        <rFont val="Times New Roman"/>
        <family val="1"/>
        <charset val="204"/>
      </rPr>
      <t>середня вартість клініко-лабораторного супроводу АРТ на рік 1 ЛЖВ, тис. грн.</t>
    </r>
  </si>
  <si>
    <r>
      <t xml:space="preserve">Показник якості: </t>
    </r>
    <r>
      <rPr>
        <sz val="12"/>
        <rFont val="Times New Roman"/>
        <family val="1"/>
        <charset val="204"/>
      </rPr>
      <t>частка ЛЖВ, у яких досягнуто невизначуваного рівня вірусного навантаження (&lt; 40 РНК копій/мл) відносно базового рівня 85%</t>
    </r>
  </si>
  <si>
    <t xml:space="preserve"> Здійснювати соціальний супровід  ЛЖВ,  груп підвищеного ризику</t>
  </si>
  <si>
    <r>
      <t xml:space="preserve">Показник продукту: </t>
    </r>
    <r>
      <rPr>
        <sz val="12"/>
        <rFont val="Times New Roman"/>
        <family val="1"/>
        <charset val="204"/>
      </rPr>
      <t>кількість ЛЖВ з числа нових випадків серед осіб груп підвищеного ризику щодо інфікування ВІЛ, які охоплені соціальним супроводом для досягнення прихильності до АРТ</t>
    </r>
  </si>
  <si>
    <r>
      <t xml:space="preserve">Показник якості: </t>
    </r>
    <r>
      <rPr>
        <sz val="12"/>
        <rFont val="Times New Roman"/>
        <family val="1"/>
        <charset val="204"/>
      </rPr>
      <t>динаміка частки ЛЖВ, які утримуються на лікуванні впродовж 12 місяців від початку лікування. Базовий рівень – 85%</t>
    </r>
  </si>
  <si>
    <t>Розвиток людських ресурсів: Забезпечити підвищення кваліфікації медичних працівників, залучених до надання медичної допомоги ЛЖВ, шляхом стажування у провідних практиках міжнародних партнерів</t>
  </si>
  <si>
    <t xml:space="preserve">Реалізаціяв Програми за стратегією Fast-Track Cities у місті Києві </t>
  </si>
  <si>
    <r>
      <t xml:space="preserve">Показник продукту: </t>
    </r>
    <r>
      <rPr>
        <sz val="12"/>
        <rFont val="Times New Roman"/>
        <family val="1"/>
        <charset val="204"/>
      </rPr>
      <t xml:space="preserve">кількість розроблених нормативних актів, проектів рішень </t>
    </r>
  </si>
  <si>
    <r>
      <t>Показник ефективності:</t>
    </r>
    <r>
      <rPr>
        <sz val="12"/>
        <rFont val="Times New Roman"/>
        <family val="1"/>
        <charset val="204"/>
      </rPr>
      <t xml:space="preserve"> відсоток прийнятих до виконання нормативних актів або рішень від розроблених</t>
    </r>
  </si>
  <si>
    <t>Забезпечити групи підвищеного ризику щодо інфікування ВІЛ (далі – ГПР) комплексним пакетом послуг з метою запобігання нових випадків інфікування у т.ч. за стратегією «зменшення шкоди», зокрема:</t>
  </si>
  <si>
    <t>2017-2021</t>
  </si>
  <si>
    <t>2017-2020</t>
  </si>
  <si>
    <t>Департамент охорони здоров’я виконавчого органу Київської міської ради (Київської міської державної адміністрації) (далі - Департамент охорони здоров'я), НУО</t>
  </si>
  <si>
    <t>1.4.</t>
  </si>
  <si>
    <t>Реалізація нової моделі профілактичної роботи з метою виходу на важкодоступні ГПР щодо інфікування ВІЛ</t>
  </si>
  <si>
    <t>Здійснити пілотування (2017 р.) та впровадження (2018-2021 рр.) преконтактної профілактики (РгЕР) антиретровірусними препаратами серед ЧСЧ</t>
  </si>
  <si>
    <t>Забезпечити стійкість програми замісної підтримувальної терапії (ЗПТ) для людей, які вживають ін'єкційні наркотики (ЛВІН), за принципом інтегрованої медичної допомоги:</t>
  </si>
  <si>
    <t>2017-2018</t>
  </si>
  <si>
    <t xml:space="preserve">Департамент охорони здоров’я, районні управління охорони здоров’я, ТОВ «Делойт Консалтінг Оверсіз Проджектс» (USAID) </t>
  </si>
  <si>
    <t>Департамент охорони здоров’я,  управління охорони здоров’я районних в місті Києві державних адміністрацій (далі - УОЗ)</t>
  </si>
  <si>
    <t xml:space="preserve">Департамент охорони здоров’я,  НУО </t>
  </si>
  <si>
    <t>Проведення міського дня тестування  на ВІЛ-інфекцію (щомісяця) в закладах охорони здоров'я, що засновані на комунальній власності територіальної громади міста Києва</t>
  </si>
  <si>
    <t xml:space="preserve">Департамент охорони здоров’я, УОЗ, НУО </t>
  </si>
  <si>
    <t xml:space="preserve">Проведення якості досліджень з використанням швидких тестів 
</t>
  </si>
  <si>
    <t xml:space="preserve">Забезпечити навчання медичних працівників навичкам ПТВ, для проведення скринінгу населення на ВІЛ на базі: 
</t>
  </si>
  <si>
    <t xml:space="preserve">Департамент охорони здоров’я, УОЗ </t>
  </si>
  <si>
    <t xml:space="preserve">3. </t>
  </si>
  <si>
    <t>Департамент охорони здоров’я, УОЗ, НУО</t>
  </si>
  <si>
    <t>Залучення до системи медичного нагляду людей, які живуть з ВІЛ  (ЛЖВ)</t>
  </si>
  <si>
    <t>3.1.</t>
  </si>
  <si>
    <t xml:space="preserve">Забезпечити клініко-лабораторне обстеження ЛЖВ при взятті під медичний нагляд у зв’язку із ВІЛ-інфекцією у Київському міському центрі профілактики та боротьби зі СНІДом у тому числі: 
</t>
  </si>
  <si>
    <t>КМЦ СНІДу</t>
  </si>
  <si>
    <t>Соціотерапія</t>
  </si>
  <si>
    <t>МЦК</t>
  </si>
  <si>
    <t>Делойт</t>
  </si>
  <si>
    <t>АHF</t>
  </si>
  <si>
    <t>Здійснення медичного нагляду ЛЖВ лікарем інфекціоністом за місцем проживання</t>
  </si>
  <si>
    <t>4.1.</t>
  </si>
  <si>
    <t xml:space="preserve">Прискорити розширення доступу ЛЖВ до антиретровірусної терапії (АРТ) 
</t>
  </si>
  <si>
    <t xml:space="preserve">Оптимізувати процес видачі антиретровірусних препаратів (далі - АРВП) шляхом запровадження рецептурної безкоштовної видачі ЛЖВ антиретровірусних препаратів через аптечну мережу (2017 р. - пілотний проект)  
</t>
  </si>
  <si>
    <t xml:space="preserve">Забезпечити соціальний супровід ЛЖВ (насамперед представників груп підвищеного ризику щодо інфікування ВІЛ) силами НУО та Київського міського центру соціальних служб для дітей, сім’ї і молоді для отримання АРТ 
</t>
  </si>
  <si>
    <t>Досягнення високої ефективності лікування у людей, які живуть з ВІЛ та отримують антиретровірусну терапію (АРТ)</t>
  </si>
  <si>
    <t xml:space="preserve">Київський  міський центр соціальних служб для дітей, сім’ї і молоді, НУО 
</t>
  </si>
  <si>
    <t>5.2.</t>
  </si>
  <si>
    <t xml:space="preserve">Здійснювати соціальний супровід  ЛЖВ,  груп підвищеного ризику 
</t>
  </si>
  <si>
    <t xml:space="preserve">Розвиток людських ресурсів: Забезпечити підвищення кваліфікації медичних працівників, залучених до надання медичної допомоги ЛЖВ, шляхом стажування у провідних практиках міжнародних партнерів 
</t>
  </si>
  <si>
    <r>
      <rPr>
        <b/>
        <sz val="12"/>
        <color indexed="8"/>
        <rFont val="Times New Roman"/>
        <family val="1"/>
        <charset val="204"/>
      </rPr>
      <t>Показник якості</t>
    </r>
    <r>
      <rPr>
        <sz val="12"/>
        <color indexed="8"/>
        <rFont val="Times New Roman"/>
        <family val="1"/>
        <charset val="204"/>
      </rPr>
      <t>: зменшення рівня передачі ВІЛ-інфекції від матері до дитини. Базове значення показника – 4,6% (2014 р.)</t>
    </r>
  </si>
  <si>
    <r>
      <t>Показник якості:</t>
    </r>
    <r>
      <rPr>
        <sz val="12"/>
        <color indexed="8"/>
        <rFont val="Times New Roman"/>
        <family val="1"/>
        <charset val="204"/>
      </rPr>
      <t xml:space="preserve"> динаміка</t>
    </r>
    <r>
      <rPr>
        <i/>
        <sz val="12"/>
        <color indexed="8"/>
        <rFont val="Times New Roman"/>
        <family val="1"/>
        <charset val="204"/>
      </rPr>
      <t xml:space="preserve"> </t>
    </r>
    <r>
      <rPr>
        <sz val="12"/>
        <color indexed="8"/>
        <rFont val="Times New Roman"/>
        <family val="1"/>
        <charset val="204"/>
      </rPr>
      <t xml:space="preserve">зміни частки статевих партнерів ЛЖВ, яких взято під медичне спостереження у разі виявлення ВІЛ серед осіб зазначеної категорії, %. Базовий показник – 20% </t>
    </r>
  </si>
  <si>
    <r>
      <rPr>
        <b/>
        <sz val="12"/>
        <rFont val="Times New Roman"/>
        <family val="1"/>
        <charset val="204"/>
      </rPr>
      <t>Показник якості:</t>
    </r>
    <r>
      <rPr>
        <sz val="12"/>
        <rFont val="Times New Roman"/>
        <family val="1"/>
        <charset val="204"/>
      </rPr>
      <t xml:space="preserve"> динаміка кількості закладів охорони здоров’я вторинного та третинного рівня, які здійснюють скринінг населення на ВІЛ, %</t>
    </r>
  </si>
  <si>
    <t>Скринінг населення на ВІЛ із застосуванням швидких тестів запроваджено в усіх ЗОЗ ПМСД</t>
  </si>
  <si>
    <t>Реалізація силами НУО (в рамках реалізації грантових угод міжнрародної технічної допомоги)</t>
  </si>
  <si>
    <r>
      <t xml:space="preserve">Показник якості: </t>
    </r>
    <r>
      <rPr>
        <sz val="12"/>
        <color indexed="8"/>
        <rFont val="Times New Roman"/>
        <family val="1"/>
        <charset val="204"/>
      </rPr>
      <t>збільшення частки осіб з числа ГПР, які охоплені профілактичними послугами</t>
    </r>
    <r>
      <rPr>
        <b/>
        <sz val="12"/>
        <color indexed="8"/>
        <rFont val="Times New Roman"/>
        <family val="1"/>
        <charset val="204"/>
      </rPr>
      <t xml:space="preserve"> з </t>
    </r>
    <r>
      <rPr>
        <sz val="12"/>
        <color indexed="8"/>
        <rFont val="Times New Roman"/>
        <family val="1"/>
        <charset val="204"/>
      </rPr>
      <t>питань ВІЛ (%)</t>
    </r>
  </si>
  <si>
    <t xml:space="preserve">НУО, Київський міський центр соціальних служб для сім’ї, дітей і молоді </t>
  </si>
  <si>
    <t xml:space="preserve">4.2. </t>
  </si>
  <si>
    <t xml:space="preserve">Покращення матеріально-технічної бази кабінетів інфекційних захворювань (КіЗ) </t>
  </si>
  <si>
    <t>Проведення ремонтних робіт</t>
  </si>
  <si>
    <t>Модернізація робочого місця лікаря (ПК, принтер, ліцензоване програмне забезпечення)</t>
  </si>
  <si>
    <r>
      <t>Показник затрат,</t>
    </r>
    <r>
      <rPr>
        <sz val="12"/>
        <rFont val="Times New Roman"/>
        <family val="1"/>
        <charset val="204"/>
      </rPr>
      <t xml:space="preserve"> тис.грн.</t>
    </r>
  </si>
  <si>
    <r>
      <t xml:space="preserve">Показник продукту: </t>
    </r>
    <r>
      <rPr>
        <sz val="12"/>
        <rFont val="Times New Roman"/>
        <family val="1"/>
        <charset val="204"/>
      </rPr>
      <t>кількість модернизованих КіЗів, одиниць</t>
    </r>
  </si>
  <si>
    <r>
      <t>Показник ефективності:</t>
    </r>
    <r>
      <rPr>
        <sz val="12"/>
        <rFont val="Times New Roman"/>
        <family val="1"/>
        <charset val="204"/>
      </rPr>
      <t xml:space="preserve"> середня вартість ремонтних робіт 1 КіЗ, тис. грн.</t>
    </r>
  </si>
  <si>
    <r>
      <t xml:space="preserve">Показник якості: </t>
    </r>
    <r>
      <rPr>
        <sz val="12"/>
        <rFont val="Times New Roman"/>
        <family val="1"/>
        <charset val="204"/>
      </rPr>
      <t>% відремонтованих КіЗ, від запланованого Базовий показник - 0</t>
    </r>
  </si>
  <si>
    <r>
      <t xml:space="preserve">Показник затрат, </t>
    </r>
    <r>
      <rPr>
        <sz val="12"/>
        <rFont val="Times New Roman"/>
        <family val="1"/>
        <charset val="204"/>
      </rPr>
      <t>тис.грн.</t>
    </r>
  </si>
  <si>
    <r>
      <t>Показник продукту:</t>
    </r>
    <r>
      <rPr>
        <sz val="12"/>
        <rFont val="Times New Roman"/>
        <family val="1"/>
        <charset val="204"/>
      </rPr>
      <t xml:space="preserve"> кількість модернизованих КіЗів, одиниць</t>
    </r>
  </si>
  <si>
    <r>
      <t xml:space="preserve">Показник ефективності: </t>
    </r>
    <r>
      <rPr>
        <sz val="12"/>
        <rFont val="Times New Roman"/>
        <family val="1"/>
        <charset val="204"/>
      </rPr>
      <t>середня вартість модернізації 1 робочого місця лікаря-інфекціоніста, тис. грн.</t>
    </r>
  </si>
  <si>
    <r>
      <t xml:space="preserve">Показник якості: </t>
    </r>
    <r>
      <rPr>
        <sz val="12"/>
        <rFont val="Times New Roman"/>
        <family val="1"/>
        <charset val="204"/>
      </rPr>
      <t>% модернізованих КіЗ, від запланованого Базовий показник - 0</t>
    </r>
  </si>
  <si>
    <t xml:space="preserve">Забезпечити клініко-лабораторний моніторинг та оцінку ефективності АРТ (згідно клінічного протоколу) 
</t>
  </si>
  <si>
    <t xml:space="preserve">Департамент охорони здоров’я, Київський міський центр соціальних служб для сім’ї, дітей і молоді </t>
  </si>
  <si>
    <t>Можливло дані є неповними (визначено на підставі звітів НУО)</t>
  </si>
  <si>
    <t>Заходи фінануються в рамках грантових угод</t>
  </si>
  <si>
    <t>Високий показник свідчить про "випадіння" ВІЛ-позитивних осіб на етапі встановлення остаточного діагнозу (не звернулися для взяття під медичний нагляд у разі підтвердження ВІЛ-інфікування), що знижує ефективність заходу в цілому.</t>
  </si>
  <si>
    <t>Охоплено 100% ЛЖВ, які мали показання до обстеження, незалежно від кількості таких осіб</t>
  </si>
  <si>
    <t>Забезпечити профілактику та лікування опортуністичних інфекцій у ЛЖВ</t>
  </si>
  <si>
    <t xml:space="preserve">Реалізація заходів із застосуванням швидких тестів дає позитивні результати щодо збільшення виявлення та охоплення ЛЖВ медичним наглядом </t>
  </si>
  <si>
    <t>Реалізація заходу не вимагає виділення додаткових коштів</t>
  </si>
  <si>
    <t>Відхилення обумовлено відсутністю суттєвого збільшення під медичним наглядом ЛЖВ</t>
  </si>
  <si>
    <t>Відхилення обумовлено переважно за рахунок економії коштів за результатами торгів</t>
  </si>
  <si>
    <t>Додаток 3</t>
  </si>
  <si>
    <t>до листа КМКЛ №5</t>
  </si>
  <si>
    <t>№________________</t>
  </si>
  <si>
    <t>від _____________________</t>
  </si>
  <si>
    <t>Економія коштів: укладено договір на 1 грн з КП "Фармація"</t>
  </si>
  <si>
    <t>Додаток 2</t>
  </si>
  <si>
    <t>про виконання результативних показників у 2018 році Міської цільової програми протидії епідемії ВІЛ-інфекції</t>
  </si>
  <si>
    <t>1.1.1.людей, які вживають ін'єкційні наркотики (далі - ЛВІН)</t>
  </si>
  <si>
    <t>1.1.2.чоловіків, які мають сексуальні стосунки із чоловіками (далі - ЧСЧ)</t>
  </si>
  <si>
    <t>1.1.3.робітників комерційного сексу (далі - РКС)</t>
  </si>
  <si>
    <t xml:space="preserve">1.8.1. Охоплення вагітних жінок обстеженням на ВІЛ-інфекцію </t>
  </si>
  <si>
    <t>1.8.2. Забезпечення адаптованими молочними сумішами для дітей першого року життя, народжених ВІЛ-інфікованими матерями</t>
  </si>
  <si>
    <t>1.8.3.Забезпечення антиретровірусними препаратами для профілактики передачі ВІЛ-інфекції від матері до дитини</t>
  </si>
  <si>
    <t xml:space="preserve">2.3.1. Тестування на ВІЛ-інфекцію із застосуванням двох швидких тестів та оптимізації аутріч-маршрутів, маршрутів мобільних амбулаторій 
</t>
  </si>
  <si>
    <t>2.3.2. Забезпечення участі медичних працівників у ПТВ на базі громадських центрів та мобільних амбулаторій неурядових організацій</t>
  </si>
  <si>
    <t xml:space="preserve">2.3.3. Залучення до тестування на ВІЛ, зокрема ЧСЧ, через мережу Інтернет 
</t>
  </si>
  <si>
    <t xml:space="preserve">2.5.1. закладів охорони здоров’я ПМСД 
</t>
  </si>
  <si>
    <t xml:space="preserve">2.5.2. закладів охорони здоров’я вторинного рівня 
</t>
  </si>
  <si>
    <t>3.1.1.Проведення підтверджуючих досліджень у разі отримання позитивного результату тестування на ВІЛ</t>
  </si>
  <si>
    <t>3.1.2.Охоплення медичним спостереженням осіб, яким встановлено діагноз ВІЛ/СНІД під час перебування на стаціонарному лікуванні у ЗОЗ</t>
  </si>
  <si>
    <t>3.1.3.Здійснення медичного наглядуЛЖВ лікарем інфекціоністом за місцем проживання</t>
  </si>
  <si>
    <t>3.1.4. Забезпечення супроводу соціальними працівниками НУО представників груп підвищеного ризику щодо інфікування ВІЛ (у разі виявлення у них ВІЛ-інфекції) до закладів охорони здоров’я, які надають медичну допомогу у зв’язку із ВІЛ-інфекцією</t>
  </si>
  <si>
    <t>3.1.5.Скорочення термінів взяття ЛЖВ під медичний нагляд у разі виявлення ВІЛ-інфекції</t>
  </si>
  <si>
    <t>3.3.1. діагностика вірусних гепатитів В і C</t>
  </si>
  <si>
    <t xml:space="preserve">3.3.2. діагностика сифілісу </t>
  </si>
  <si>
    <t>3.3.3. гематологічні та біохімічні дослідження</t>
  </si>
  <si>
    <t>3.3.4. імунологічні дослідження на визначення CD4</t>
  </si>
  <si>
    <t>3.3.5. забезпечення вакуумними системами для забору крові (вакутайнери)</t>
  </si>
  <si>
    <t xml:space="preserve">3.4.1. профілактика туберкульозу 
</t>
  </si>
  <si>
    <t>3.4.2. профілактика пневмоцистної пневмонії</t>
  </si>
  <si>
    <t>3.4.3. профілактика криптококозу</t>
  </si>
  <si>
    <t>3.4.4. профілактика атипових мікобактеріозів</t>
  </si>
  <si>
    <t>3.4.5. лікування опортуністичних інфекцій</t>
  </si>
  <si>
    <t xml:space="preserve">4.1.1. Продовження та залучення до АРТ пацієнтів, які перебувають під медичним наглядом в Київському міському центрі профілактики та боротьби зі СНІДом  
</t>
  </si>
  <si>
    <t xml:space="preserve">4.1.2. Призначення АРТ (базових схем І ряду) лікарями-інфекціоністами за місцем проживання пацієнта 
</t>
  </si>
  <si>
    <t xml:space="preserve">4.1.3. Видача антиретровірусних препаратів за місцем проживання пацієнта 
</t>
  </si>
  <si>
    <t>4.2.1. Проведення ремонтних робіт</t>
  </si>
  <si>
    <t>4.2.2. Модернізація робочого місця лікаря (ПК, принтер, ліцензоване програмне забезпечення)</t>
  </si>
  <si>
    <t xml:space="preserve">5.1.1. Визначення рівня вірусного навантаження (ВН) 
</t>
  </si>
  <si>
    <t xml:space="preserve">5.1.2. Визначення рівня CD4 
</t>
  </si>
  <si>
    <t xml:space="preserve">5.1.3. Гематологічні дослідження 
</t>
  </si>
  <si>
    <t xml:space="preserve">5.1.4. Біохімічні дослідження крові 
</t>
  </si>
  <si>
    <t xml:space="preserve">5.1.5. Діагностика опортуністичних інфекцій при прогресуючій ВІЛ-інфекції 
</t>
  </si>
  <si>
    <t>Препарати були отримані у IV кварталі 2017 року на суму 163,95 тис. грн.</t>
  </si>
  <si>
    <t>н/д</t>
  </si>
  <si>
    <t>Загалом у м. Києві за І квартал було обстежено 86722 особи, з них 33214 осіб з числа декретованих груп (донори та вагітні жінки). Кількість обстежених з числа цільових груп та загального населення становить 53508 осіб, з них: 27649 осіб обстежено у ЗОЗ та 4180 у Кабінетах Довіри. Порівняно з аналогічним періодом 2017 року кількість обстежених осіб швидкими тестами збільшилась в чотири рази (45372 проти 10981 відповідно).</t>
  </si>
  <si>
    <t xml:space="preserve">Показник розрахований за результатами тестуванням з використанням ІФА та ШТ відповідно до програми. Загальна результативність скринінгу у м. Києві за даними сероепідмоніторингу становить 1,2% </t>
  </si>
  <si>
    <t>Показник розрахований за даними звітів НУО щодо кількості осіб, 
у яких виявлено позитивний результат з використанням швидких тестів,
у звітному періоді в рамках проектної діяльності. Обстежено загалом 8864 особи, з них 184 отримали ВІЛ-позитивний результат.</t>
  </si>
  <si>
    <t xml:space="preserve">Скринінг населення на ВІЛ запроваджено в усіх ЗОЗ. Тестування із застосуванням швидких тестів запроваджено у 100% ЗОЗ вторинного та третинного рівня  </t>
  </si>
  <si>
    <t xml:space="preserve">Загалом взято під медичне спостереження 514 людей з ВІЛ/СНІД (431 людина з вперше у житті діагностованою ВІЛ-інфекцією та 83 були переведені) та 49 дітей, народжених ВІЛ-інфікованими матерями на моніторингу. </t>
  </si>
  <si>
    <t xml:space="preserve">Річний показник. </t>
  </si>
  <si>
    <t xml:space="preserve">Річний показник </t>
  </si>
  <si>
    <t xml:space="preserve">За даними попереднього року </t>
  </si>
  <si>
    <t xml:space="preserve">На початок 2018  року отримували антиретровірусну терапію 8313 пацієнтів. З урахуванням 590 осіб, яким призначено лікування у І кварталі, станом на 01.04.2018 року кількість людей, охоплених лікуванням, збільшилась до 8903 осіб. З урахуванням 180 осіб, які з різних причин припинили лікування (вибули, померли), станом на 01.04.2018 року фактично охоплено лікуванням 8723 хворих. </t>
  </si>
  <si>
    <t>Інформація не повна (не надано звіт від НУО)</t>
  </si>
  <si>
    <t>Показник попередній (з числа осіб, які отримують АРТ понад 6 міс., та були обстежені у І кварталі)</t>
  </si>
  <si>
    <r>
      <t>Річний показник. Показник попередній: розрахований на підставі даних, зазначених у звітах НУО: 2573 особи були охоплені послугами мобільної амбулаторій (</t>
    </r>
    <r>
      <rPr>
        <i/>
        <sz val="12"/>
        <color indexed="8"/>
        <rFont val="Times New Roman"/>
        <family val="1"/>
        <charset val="204"/>
      </rPr>
      <t>можливо ці дані є неповними)</t>
    </r>
    <r>
      <rPr>
        <sz val="12"/>
        <color indexed="8"/>
        <rFont val="Times New Roman"/>
        <family val="1"/>
        <charset val="204"/>
      </rPr>
      <t xml:space="preserve">. </t>
    </r>
  </si>
  <si>
    <t>Фактичні витрати у І кварталі 16,94 тис. грн. (за рахунок препаратів, отриманих у 2017 році)</t>
  </si>
  <si>
    <t>Річний показник. Відстуність повної інформації від НУО</t>
  </si>
  <si>
    <t xml:space="preserve">Неповні дані у звітах НУО. За даними сероепідмоніторингу швидкими тестами було виявлено 57 ВІЛ-позитивних статевих партнерів ЛЖВ, з них взято на обблік 16 осіб. </t>
  </si>
  <si>
    <t>Заплановано поступове зменшення частки пацієнтів, які отримують препарати ЗПТ за інші кошти, та розширення доступу до ЗПТ за кошти ДБ:  за І квартал кількість таких пацієнтів зменшилась з 500 до 435.</t>
  </si>
  <si>
    <t>Річний показник. У І кварталі використовувались переважно суміші, що були закуплені у 2017 році.</t>
  </si>
  <si>
    <r>
      <t>Загалом за результатами скринінгу підтверджено ВІЛ-інфекцію у 1049 людей (</t>
    </r>
    <r>
      <rPr>
        <i/>
        <sz val="12"/>
        <rFont val="Times New Roman"/>
        <family val="1"/>
        <charset val="204"/>
      </rPr>
      <t>загалом</t>
    </r>
    <r>
      <rPr>
        <sz val="12"/>
        <rFont val="Times New Roman"/>
        <family val="1"/>
        <charset val="204"/>
      </rPr>
      <t xml:space="preserve"> </t>
    </r>
    <r>
      <rPr>
        <i/>
        <sz val="12"/>
        <rFont val="Times New Roman"/>
        <family val="1"/>
        <charset val="204"/>
      </rPr>
      <t>до лабораторії КМЦ СНІДу надійшло для проведення підтверджувальних досліджень  1428 зразків крові з позитивним результатом тестування на ВІЛ</t>
    </r>
    <r>
      <rPr>
        <sz val="12"/>
        <rFont val="Times New Roman"/>
        <family val="1"/>
        <charset val="204"/>
      </rPr>
      <t>). У 2017 році кількість позитивних результатів становила 758 випадків. Тобто збільшення кількості ВІЛ-позитивних результатів відносно аналогічного періоду 2017 року на 38,4%.</t>
    </r>
  </si>
  <si>
    <r>
      <t>Кількість ЛЖВ, які знають свій статус, збільшилась до 13105 осіб, але впродовж року з різних причин було знято з обліку 155 людей з ВІЛ, у т.ч. 92 особи померли, 63 вибули з Києва. Фактично станом на 01.04.2018 р. на обліку перебуває 12945 осіба з ВІЛ-інфекцією (</t>
    </r>
    <r>
      <rPr>
        <i/>
        <sz val="12"/>
        <rFont val="Times New Roman"/>
        <family val="1"/>
        <charset val="204"/>
      </rPr>
      <t>без урахування дітей, народжених від ВІЛ-інфікованих матерів</t>
    </r>
    <r>
      <rPr>
        <sz val="12"/>
        <rFont val="Times New Roman"/>
        <family val="1"/>
        <charset val="204"/>
      </rPr>
      <t>)</t>
    </r>
  </si>
  <si>
    <r>
      <t xml:space="preserve">Показник затрат, </t>
    </r>
    <r>
      <rPr>
        <sz val="12"/>
        <rFont val="Times New Roman"/>
        <family val="1"/>
        <charset val="204"/>
      </rPr>
      <t>тис. грн</t>
    </r>
  </si>
  <si>
    <t>Загалом отримали профілактику та лікування у І кварталі 3161 ЛЖВ, з них за кошти бюджету м. Києва 2104 людини.</t>
  </si>
  <si>
    <r>
      <t>Показник продукту:</t>
    </r>
    <r>
      <rPr>
        <sz val="12"/>
        <rFont val="Times New Roman"/>
        <family val="1"/>
        <charset val="204"/>
      </rPr>
      <t xml:space="preserve"> кількість лікарів, які підвищили кваліфікацію з питань ВІЛ/СНІДу, та надають кваліфіковану допомогу ЛЖВ</t>
    </r>
  </si>
  <si>
    <r>
      <t xml:space="preserve">Показник ефективності: </t>
    </r>
    <r>
      <rPr>
        <sz val="12"/>
        <rFont val="Times New Roman"/>
        <family val="1"/>
        <charset val="204"/>
      </rPr>
      <t>середні витрати на підвищення кваліфікації лікаря, тис.грн.</t>
    </r>
  </si>
  <si>
    <r>
      <t>Показник якості:</t>
    </r>
    <r>
      <rPr>
        <sz val="12"/>
        <rFont val="Times New Roman"/>
        <family val="1"/>
        <charset val="204"/>
      </rPr>
      <t xml:space="preserve"> динаміка частки лікарів, які пройшли стажування з числа тих, що надають допомогу ЛЖВ. Базовий рівень – 12%</t>
    </r>
  </si>
  <si>
    <t>1.7.1. Проведення ремонту приміщень з метою розширення мережі кабінетів ЗПТ на базі закладів охорони здоров’я у Подільському та Святошинському районах (2017 рік), Дарницькому, Деснянському, Дніпровському та Шевченківському районах (2018 рік)</t>
  </si>
  <si>
    <t>1.7.2. Оснащення кабінетів ЗПТ на базі закладів охорони здоров’я ПМСД у Святошинському, Солом’янському та Шевченківському, Подільському, Дарницькому, Деснянському, Дніпровському, Печерському та Шевченківському районах (2018 рік)</t>
  </si>
  <si>
    <t xml:space="preserve">ТОВ «Делойт Консалтінг Оверсіз Проджектс» (USAID) </t>
  </si>
  <si>
    <t>1.7.3. Реалізація ЗПТ на базі закладів охорони здоров’я, які надають первинну медико-санітарну допомогу</t>
  </si>
  <si>
    <t>1.7.4. Забезпечення препаратами ЗПТ</t>
  </si>
  <si>
    <t>Вик. Бодня 452-68-50, Антоненко 450-96-15</t>
  </si>
  <si>
    <r>
      <rPr>
        <b/>
        <sz val="12"/>
        <color indexed="8"/>
        <rFont val="Times New Roman"/>
        <family val="1"/>
        <charset val="204"/>
      </rPr>
      <t>Показник якості</t>
    </r>
    <r>
      <rPr>
        <sz val="12"/>
        <color indexed="8"/>
        <rFont val="Times New Roman"/>
        <family val="1"/>
        <charset val="204"/>
      </rPr>
      <t>: динаміка частки  ЛЖВ, яких було взято на диспансерний облік з приводу ВІЛ-інфекції з числа вперше діагностованих у ЗОЗ. Базовий показник – 18%.</t>
    </r>
  </si>
  <si>
    <t>Відповідних навчальних заходів не було</t>
  </si>
  <si>
    <t>Обмеження даних: відстуність повної інформації у звітах, наданих від НУО</t>
  </si>
  <si>
    <t xml:space="preserve">Річний показник (станом на дату подання звіту запас препаратів вичерпано, пацієнти забезпечені препаратами ЗПТ, отриманими з інших джерел). Планується закупівля препаратів за кошти бюджету м. Києва у ІІ кварталі. </t>
  </si>
  <si>
    <t>Немає даних для розрахунку індикатора. Індикатор розраховується згідно вимог наказу МОЗ України від 03.08.2012 №612 "Про затвердження форм первинної облікової документації та звітності з питань моніторингу заходів профілактики передачі ВІЛ від матері до дитини, інструкцій щодо їх заповнення". Визначається на підставі оцінки когорти дітей звітного (позаминулого) року - дітей, народжених від ВІЛ-інфікованих матерів у 2016 році і яким станом на 01.07.2018 року виповниться 18 місяців, коли відбудеться остаточне визначення діагнозу у всіх дітей.</t>
  </si>
  <si>
    <t>Показник буде розрахований на кінець року на підставі інформації у річних звітах НУО.</t>
  </si>
  <si>
    <t>Відсутня інформація у квартальних звітах НУО</t>
  </si>
  <si>
    <t>Показник буде визначений за результатами фактичного виконання заходу впродовж року</t>
  </si>
  <si>
    <t xml:space="preserve">Обмеження в якості даних. У звітах НУО немає чіткого розділення витрат на окремі види товарів чи діяльності.  </t>
  </si>
  <si>
    <t>Річний показник: розраховується на підставі річних звітів НУО.</t>
  </si>
  <si>
    <t>Немає даних для визначення індикатору. Зовінішня оцінки якості відбудеться вродовж року</t>
  </si>
  <si>
    <t>Кошторисом не передбачено, Лист на ДОЗ про перерозподіл № 061/108-270 від 02.02.18</t>
  </si>
  <si>
    <t>Навчання лікарів може бути до кінця року забезпечено в рамках проектів міжнародної технічної підтримки</t>
  </si>
  <si>
    <t>У І кварталі було у централізованому порядку отримано тест-системи та реагенти за кошти Державного бюджету 2016 року. Наявні ресурси дозволили забезпечити проведення 100% підтверджувальних досліджень від кількості ВІЛ-позитивних результатів первинного скринінгу, які були отримані у звітному періоді.</t>
  </si>
  <si>
    <t>Відсутня потреба в закупівлі на 2018 рік в звязку з наявними залишками та плановими постачаннями за рахунок Державного бюджету. Фактичні витрати дозволили у повному обсязі забезпечити потребу проведення досліджень відносно кількості ВІЛ-позитивних результатів первинного скринінгу</t>
  </si>
  <si>
    <t>Річний показник. Станом на 01.04.2018 року значене відхилення фактичного значення обумовлено поступовим впровадженням зазначених заходів в фумовах реформування та децентралізації медичної допомоги ЛЖВ, що потребує відпрацювання маршруту пацієнта з позитивним результатом тестування ВІЛ до лікаря-інфекціоніста</t>
  </si>
  <si>
    <t>Загалом у І кварталі 2018 року до Київського міського центру СНІДу звернулися для взяття на облік 206 ЛЖВ, яких було перенаправлено соціальними працівниками НУО (у І кварталі 2017 року - 170).</t>
  </si>
  <si>
    <t xml:space="preserve">На базі НУО було виявлено вперше 184 особи з позитивним результатом тестування на ВІЛ, з яких 142 направлені до медичного закладу. Високий показник обумовлен перш за все налагодженням зв'язку між НУО та кабінетами Довіри КМЦ СНІДу </t>
  </si>
  <si>
    <t>Результат свідчить про позитивну динаміку в організації роботи за даним напрямком. Наявні ресурси дозволили у повному обсязі забезпечити обстеження на опортуністичні інфекції нових пацієнтів</t>
  </si>
  <si>
    <t>Досягнуто рівень цільового показника. Наявні ресурси дозволили у повному обсязі забезпечити клініко-лабораторне обстеження ЛЖВ при взятті під медичний нагляд</t>
  </si>
  <si>
    <t xml:space="preserve">З урахуванням наявності залишків препаратів з різних джерел, у І кварталі пацієнти у повному були охоплені лікуванням, що перевищило розраховані планові показники </t>
  </si>
  <si>
    <t>З урахуванням хворих, які спостерігаютьсяза місцем проживанням у інфекціоніста КМЦ СНІДу (3020)  та на базі КІЗ (532)</t>
  </si>
  <si>
    <t>Направлено лист на погодження до Департаменту Інформаційних технологій вих. №061/108-660 від 15.03.2018. Отримано лист відмову 04.04.2018 №175-938 та направлено новий лист щодо погодження закупівлі обладнання.</t>
  </si>
  <si>
    <t>Річний показник: розраховується шляхом моніторингу групи ВІЛ-інфікованих та хворих на СНІД осіб, які розпочали АРТ протягом одного року, за якими встановлюється постійне медичне спостереження з метою контролю за ефективністю лікування</t>
  </si>
  <si>
    <t>Обмеження якості даних: відстуність повної інформації у звітах НУО</t>
  </si>
  <si>
    <t xml:space="preserve">У І кварталі підготовлено проект та затверджено наказ Департаменту охорони здоровя (№ 205 від 27.02.2018) </t>
  </si>
  <si>
    <t>З числа виявлених у І кварталі ВІЛ-позитивних осіб (за даними сероепідмоніторингу) 58,9% не звернулися до лікаря інфекціоніста для подальшого обстеження та лікування людей ВІЛ/СНІДу</t>
  </si>
  <si>
    <t>Річний показник (відстуня інформація у звітах партнерських організацій за І квартал)</t>
  </si>
  <si>
    <t>Забезпечені 100% дітей, який перебувають на обліку</t>
  </si>
  <si>
    <t>Інформація про виконання у І півріччі 2018 року Міської цільової програми протидії епідемії  ВІЛ-інфекції на 2017-2021 роки</t>
  </si>
  <si>
    <t>Зниження показника внаслідок економії коштів.</t>
  </si>
  <si>
    <t xml:space="preserve">З розрахунку на 961 пацієнта, які отримують ЗПТ за кошти ДБ та інші кошти. Препаратаи за кошти бюджету м. Києва будуть отримані у ІІІ кварталі поточного року. </t>
  </si>
  <si>
    <t xml:space="preserve">Заплановано поступове зменшення частки пацієнтів, які отримують препарати ЗПТ за інші кошти, та розширення доступу до ЗПТ за кошти ДБ:  за І півріччя кількість таких пацієнтів зменшилась з 500 до 340. За власні кошти ЗПТ отримують 182 особи. </t>
  </si>
  <si>
    <t>Показник розрахований за даними звітів НУО щодо кількості осіб, 
у яких виявлено позитивний результат з використанням швидких тестів,
у звітному періоді в рамках проектної діяльності. Обстежено загалом 21419 осіб, з яких 592 отримали ВІЛ-позитивний результат.</t>
  </si>
  <si>
    <t>Загалом взято під медичне спостереження 838 людей з ВІЛ/СНІД з вперше у житті діагностованою ВІЛ-інфекцією та 93 дитини, народжених від ВІЛ-інфікованих матерів</t>
  </si>
  <si>
    <t xml:space="preserve">З урахуванням препаратів, які були отримані з різних джерел з різних джерел, пацієнти у повному були охоплені лікуванням, що перевищило прогнозовані показники </t>
  </si>
  <si>
    <t>Загалом отримали профілактику та лікування 5372 ЛЖВ, з них за кошти бюджету м. Києва 1148 осіб.</t>
  </si>
  <si>
    <r>
      <t xml:space="preserve">Показник якості: </t>
    </r>
    <r>
      <rPr>
        <sz val="12"/>
        <rFont val="Times New Roman"/>
        <family val="1"/>
        <charset val="204"/>
      </rPr>
      <t>динаміка частки ЛЖВ, які охоплені профілактикою та лікуванням опортуністичних інфекцій за кошти бюджету міста Києва. Базовий рівень показника - 10%</t>
    </r>
  </si>
  <si>
    <t>За даними сероепідмоніторингу обстежено 599 статевих партенрів ЛЖВ, з них 486 швидкими тестами. Загалом виявлено  122 ВІЛ-позитивних статевих партнери ЛЖВ, з них 111 залучені до медичного нагляду.</t>
  </si>
  <si>
    <t xml:space="preserve">Цільові заходи фінануються в рамках грантових угод. За кошти бюджету м. Києва - серед загальних витрат на тестування включно. </t>
  </si>
  <si>
    <t xml:space="preserve">У 2018 році розраховується індикатор за 2016 рік згідно вимог наказу МОЗ України від 03.08.2012 №612 "Про затвердження форм первинної облікової документації та звітності з питань моніторингу заходів профілактики передачі ВІЛ від матері до дитини, інструкцій щодо їх заповнення". Визначається у ІІІ кварталі на підставі оцінки когорти дітей звітного (позаминулого) року - дітей, народжених від ВІЛ-інфікованих матерів у 2016 році </t>
  </si>
  <si>
    <t xml:space="preserve">За даними КМЦ СНІДу профілактикою забезпечені 100% дітей, які народилися від ВІЛ-інфікованих матерів, та встали на облік. Показник має бути уточнений за підсумками 2018 року з урахуванням даних пологових будинків (ф. 63-річна).  </t>
  </si>
  <si>
    <r>
      <rPr>
        <b/>
        <sz val="12"/>
        <rFont val="Times New Roman"/>
        <family val="1"/>
        <charset val="204"/>
      </rPr>
      <t>Показник продукту</t>
    </r>
    <r>
      <rPr>
        <sz val="12"/>
        <rFont val="Times New Roman"/>
        <family val="1"/>
        <charset val="204"/>
      </rPr>
      <t>: кількість людей, які обстежені на ВІЛ-інфекцію</t>
    </r>
  </si>
  <si>
    <r>
      <rPr>
        <b/>
        <sz val="12"/>
        <rFont val="Times New Roman"/>
        <family val="1"/>
        <charset val="204"/>
      </rPr>
      <t>Показник продукту</t>
    </r>
    <r>
      <rPr>
        <sz val="12"/>
        <rFont val="Times New Roman"/>
        <family val="1"/>
        <charset val="204"/>
      </rPr>
      <t xml:space="preserve">: кількість виявлених випадків ВІЛ-інфекції  </t>
    </r>
  </si>
  <si>
    <t>Загалом за результатами скринінгу підтверджено ВІЛ-інфекцію у 1826 людей, з них за кошти бюджету м. Києва 1560 осіб. У І півріччі 2017 року кількість позитивних результатів становила 649 випадків. Тобто наявне збільшення кількості ВІЛ-позитивних результатів відносно аналогічного періоду 2017 року в два рази.</t>
  </si>
  <si>
    <t xml:space="preserve">Показник розрахований за результатами тестуванням з використанням ІФА та ШТ відповідно до програми. Загальна результативність скринінгу у м. Києві за даними сероепідмоніторингу є нижчою за показник ЗОЗ м. Києва і становить 1,1% </t>
  </si>
  <si>
    <t>Показник розрахований на підставі річних звітів НУО.</t>
  </si>
  <si>
    <t>Показник має суттєве відхилення від планового через відставання від темпу виявлення людей з ВІЛ (буде уточнений за підсумками року)</t>
  </si>
  <si>
    <t>Досягнутий результат є кращим відносно І кварталу (41%), однак 49% виявлених осіб не звернулися до лікаря (59% у І кварталі) для подальшого спостереження та лікування людей ВІЛ/СНІДу</t>
  </si>
  <si>
    <r>
      <rPr>
        <b/>
        <sz val="12"/>
        <rFont val="Times New Roman"/>
        <family val="1"/>
        <charset val="204"/>
      </rPr>
      <t>Показник якості</t>
    </r>
    <r>
      <rPr>
        <sz val="12"/>
        <rFont val="Times New Roman"/>
        <family val="1"/>
        <charset val="204"/>
      </rPr>
      <t>: динаміка показника охоплення ЛЖВ від кількості виявлених осіб, %</t>
    </r>
  </si>
  <si>
    <t>Показник має відхилення від планового через відставання від темпу охоплення ЛЖВ медичним наглядом (буде уточнений за підсумками року)</t>
  </si>
  <si>
    <r>
      <rPr>
        <b/>
        <sz val="12"/>
        <rFont val="Times New Roman"/>
        <family val="1"/>
        <charset val="204"/>
      </rPr>
      <t>Показник якості</t>
    </r>
    <r>
      <rPr>
        <sz val="12"/>
        <rFont val="Times New Roman"/>
        <family val="1"/>
        <charset val="204"/>
      </rPr>
      <t>: динаміка частки  ЛЖВ, яких було взято на диспансерний облік з приводу ВІЛ-інфекції з числа вперше діагностованих у ЗОЗ. Базовий показник – 18%.</t>
    </r>
  </si>
  <si>
    <t xml:space="preserve">У І півріччі суттєво покращився показник охоплення диспансеризацією осіб з ВІЛ, яких було виявлено під час стаціонарного лікування у міських клінічних лікарнях м. Києва </t>
  </si>
  <si>
    <r>
      <rPr>
        <b/>
        <sz val="12"/>
        <rFont val="Times New Roman"/>
        <family val="1"/>
        <charset val="204"/>
      </rPr>
      <t>Показник продукту</t>
    </r>
    <r>
      <rPr>
        <sz val="12"/>
        <rFont val="Times New Roman"/>
        <family val="1"/>
        <charset val="204"/>
      </rPr>
      <t>: кількість ЛЖВ  з вперше встановленим діагнозом, які взяті під медичне спостереження лікарем-інфекціоністом за місцем проживання</t>
    </r>
  </si>
  <si>
    <r>
      <rPr>
        <b/>
        <sz val="12"/>
        <rFont val="Times New Roman"/>
        <family val="1"/>
        <charset val="204"/>
      </rPr>
      <t>Показник якості:</t>
    </r>
    <r>
      <rPr>
        <sz val="12"/>
        <rFont val="Times New Roman"/>
        <family val="1"/>
        <charset val="204"/>
      </rPr>
      <t xml:space="preserve"> динаміка частки осіб, які спостерігаються з приводу ВІЛ-інфекції за місцем проживання (на базі КІЗ) від кількості ЛЖВ, зареєстрованих на даній адміністративно-територіальній одинці. Базовий показник – 0%</t>
    </r>
  </si>
  <si>
    <t>Річний показник. Станом на 01.07.2018 року значене відхилення значення показника обумовлено відставання темпів децентралізації медичної допомоги ЛЖВ в частині виявлення та взяття на облік, що потребує налагодження перенаправлення пацієнта з позитивним результатом тестування ВІЛ до лікаря-інфекціоніста. За 6 місяців ЗОЗ (ПМСД, КДЦ) виявлено 204 особи з ВІЛ, 104 були взяті на облік (у т.ч. 23 безпосередньо у КІЗ за місцем проживання - 22% з числа взятих на облік).</t>
  </si>
  <si>
    <t>За даними звітів НУО загалом у І півріччі 2018 року до Київського міського центру СНІДу звернулися для взяття на облік 384 ЛЖВ, яких було перенаправлено соціальними працівниками НУО (у І півріччі 2017 року - 373).</t>
  </si>
  <si>
    <t>За даними наданих звітів НУО за І півріччя (дані є неповними і можуть бути уточнені після звітного періоду)</t>
  </si>
  <si>
    <t xml:space="preserve">На базі НУО було виявлено вперше 592 особи з позитивним результатом тестування на ВІЛ, з яких 384 направлені до медичного закладу. Високий показник обумовлен перш за все налагодженням зв'язку між НУО та кабінетами Довіри КМЦ СНІДу </t>
  </si>
  <si>
    <r>
      <rPr>
        <b/>
        <sz val="12"/>
        <rFont val="Times New Roman"/>
        <family val="1"/>
        <charset val="204"/>
      </rPr>
      <t>Показник якості:</t>
    </r>
    <r>
      <rPr>
        <sz val="12"/>
        <rFont val="Times New Roman"/>
        <family val="1"/>
        <charset val="204"/>
      </rPr>
      <t xml:space="preserve"> динаміка частки ЛЖВ, які звернулися до закладу за направленням НУО. Базовий показник 60%.</t>
    </r>
  </si>
  <si>
    <t xml:space="preserve">Показник визначений на підставі звтів НУО за І півріччя </t>
  </si>
  <si>
    <t>Можливло дані є неповними (визначено на підставі інформації у звітах НУО за І півріччя)</t>
  </si>
  <si>
    <r>
      <t xml:space="preserve">Показник визначений на підставі звтів НУО за І півріччя (100% </t>
    </r>
    <r>
      <rPr>
        <i/>
        <sz val="12"/>
        <rFont val="Times New Roman"/>
        <family val="1"/>
        <charset val="204"/>
      </rPr>
      <t>кошти ГФ</t>
    </r>
    <r>
      <rPr>
        <sz val="12"/>
        <rFont val="Times New Roman"/>
        <family val="1"/>
        <charset val="204"/>
      </rPr>
      <t>)</t>
    </r>
  </si>
  <si>
    <r>
      <t xml:space="preserve">Показник визначений на підставі звтів НУО за І півріччя, у т.ч. за джерелами: </t>
    </r>
    <r>
      <rPr>
        <i/>
        <sz val="12"/>
        <rFont val="Times New Roman"/>
        <family val="1"/>
        <charset val="204"/>
      </rPr>
      <t>ГФ - 4359,69 тис. грн; AHF Ukraine - 794,57 тис. грн.;  313,52 тис. грн. -  Elton John AIDS Foundation</t>
    </r>
  </si>
  <si>
    <r>
      <t xml:space="preserve">Показник визначений на підставі звтів НУО за І півріччя, у т.ч. за джерелами: </t>
    </r>
    <r>
      <rPr>
        <i/>
        <sz val="12"/>
        <rFont val="Times New Roman"/>
        <family val="1"/>
        <charset val="204"/>
      </rPr>
      <t>ГФ - 71,386 тис. грн; AHF Ukraine - 561,264 тис. грн.;  71,352 тис. грн. -  Elton John AIDS Foundation</t>
    </r>
  </si>
  <si>
    <t>Реалізація силами НУО та за рахунок міжнародної технічної допомоги</t>
  </si>
  <si>
    <r>
      <t xml:space="preserve">За даними звітів НУО у І півріччі 2018 року впроваджувалися нові моделі: </t>
    </r>
    <r>
      <rPr>
        <i/>
        <sz val="12"/>
        <rFont val="Times New Roman"/>
        <family val="1"/>
        <charset val="204"/>
      </rPr>
      <t>модель OCF (Центр контролю і профілактики захворювань США (CDC);  нові маршрути для пошуку ТГ та підлітків з ГПР; залучення клієнтів з числа ТГ через мережу інтернет; проект HealthLink «Прискорення зусиль з протидії ВІЛ в Україні» (HealthLink) за підтримки Агентства  США з міжнародного розвитку (USAID)</t>
    </r>
  </si>
  <si>
    <t xml:space="preserve">Показник визначений на підставі звтів НУО за І півріччя.  </t>
  </si>
  <si>
    <r>
      <t xml:space="preserve">Можливло дані є неповними (визначено на підставі звітів НУО). </t>
    </r>
    <r>
      <rPr>
        <i/>
        <sz val="12"/>
        <color indexed="8"/>
        <rFont val="Times New Roman"/>
        <family val="1"/>
        <charset val="204"/>
      </rPr>
      <t xml:space="preserve">Фінансування за кошти ГФ. </t>
    </r>
  </si>
  <si>
    <t xml:space="preserve">Річний показник. Показник попередній: розрахований на підставі даних, зазначених у звітах НУО: 3238 осіб були охоплені послугами мобільної амбулаторій </t>
  </si>
  <si>
    <r>
      <t>За даними Альянсу громадського здоровя для забезпечення преконтактної профілактики (РгЕР) серед ЧСЧ у І півріччі обсяг фінансування склав 520,223 тис. грн., у т.ч. АРП на суму 83,616 тис. грн. (</t>
    </r>
    <r>
      <rPr>
        <i/>
        <sz val="12"/>
        <rFont val="Times New Roman"/>
        <family val="1"/>
        <charset val="204"/>
      </rPr>
      <t>PEPFAR</t>
    </r>
    <r>
      <rPr>
        <sz val="12"/>
        <rFont val="Times New Roman"/>
        <family val="1"/>
        <charset val="204"/>
      </rPr>
      <t>)</t>
    </r>
  </si>
  <si>
    <r>
      <t>За даними Альянсу громадського здоровя для забезпечення преконтактної профілактики (РгЕР) антиретровірусними препаратами серед ЧСЧ у І півріччі закуплено АРП на суму 83,616 тис. грн. (</t>
    </r>
    <r>
      <rPr>
        <i/>
        <sz val="12"/>
        <color indexed="8"/>
        <rFont val="Times New Roman"/>
        <family val="1"/>
        <charset val="204"/>
      </rPr>
      <t>PEPFAR</t>
    </r>
    <r>
      <rPr>
        <sz val="12"/>
        <color indexed="8"/>
        <rFont val="Times New Roman"/>
        <family val="1"/>
        <charset val="204"/>
      </rPr>
      <t>)</t>
    </r>
  </si>
  <si>
    <t>Діяльність реалізована у І півріччі 2018 року в рамках пілотного проекту, який був запланований на 2017 рік</t>
  </si>
  <si>
    <r>
      <t xml:space="preserve">Річний показник. Обмеження даних внаслідок неповної інформації від НУО та відстуності цільового фінансування на окремі групи ризику у бюджеті м. Києва </t>
    </r>
    <r>
      <rPr>
        <i/>
        <sz val="12"/>
        <rFont val="Times New Roman"/>
        <family val="1"/>
        <charset val="204"/>
      </rPr>
      <t>(фінансування за кошти ГФ)</t>
    </r>
  </si>
  <si>
    <r>
      <t xml:space="preserve">Проведено закупівлю препаратів </t>
    </r>
    <r>
      <rPr>
        <i/>
        <sz val="12"/>
        <rFont val="Times New Roman"/>
        <family val="1"/>
        <charset val="204"/>
      </rPr>
      <t>за кошти бюджету м. Києва</t>
    </r>
    <r>
      <rPr>
        <sz val="12"/>
        <rFont val="Times New Roman"/>
        <family val="1"/>
        <charset val="204"/>
      </rPr>
      <t xml:space="preserve"> та укладено договори на суму 192,66 тис. грн., отримано товарів на суму 173,78 тис. грн. </t>
    </r>
  </si>
  <si>
    <t xml:space="preserve">Реалізація заходів із застосуванням швидких тестів дає позитивні результати щодо збільшення виявлення та охоплення ЛЖВ медичним наглядом. Впливає на значення показника частка ЛЖВ, які приховують свій статус від лікарів. Загалом АТ виявлено у 235 осіб, з них у 195 пацієнтів вперше у житті, 40 осіб вже перебували раніше на обліку у зв'язку із ВІЛ. </t>
  </si>
  <si>
    <t>Загалом станом на 01.07.2018 року 790 ЛЖВ переведені під нагляд до лікарів-інфекціоністів КІЗ (з числа 13238 ЛЖВ зареєстровані у м. Києві 12304 осіб)</t>
  </si>
  <si>
    <r>
      <t xml:space="preserve">Джерела забезпечення препаратами ЗПТ: </t>
    </r>
    <r>
      <rPr>
        <i/>
        <sz val="12"/>
        <rFont val="Times New Roman"/>
        <family val="1"/>
        <charset val="204"/>
      </rPr>
      <t>1599,73 тис. грн. - ДБ; 354,31 тис. грн. - ГФ)</t>
    </r>
  </si>
  <si>
    <t>Станом на 01.07.2018 року</t>
  </si>
  <si>
    <t>За даними звіту КМКЛ №5 та КМКНЛ "Соціотерапія" станом на 01.07.2018 року</t>
  </si>
  <si>
    <t>За даними звіту КМКЛ №5 та КМКНЛ "Соціотерапія" станом на 01.07.2018 року відносно чисельності осіб, які перебувають на диспансерному обілкув наслідок вживання опіоїдів - 5782.</t>
  </si>
  <si>
    <r>
      <t xml:space="preserve">У І півріччі заходи профінансовані з наступних джерел: </t>
    </r>
    <r>
      <rPr>
        <i/>
        <sz val="12"/>
        <rFont val="Times New Roman"/>
        <family val="1"/>
        <charset val="204"/>
      </rPr>
      <t>1898,33 тис. грн. - ДБ; 726,34 тис. грн. - бюджет м. Києва</t>
    </r>
  </si>
  <si>
    <t>За даними сероепідмоніторингу (ф. 2-ВІЛ/СНІД - квартальна)</t>
  </si>
  <si>
    <t>Станом на 01.07.2018 року кількість дітей, народжених від ВІЛ-інфікованих матерів, віком до 1 року - 156 дітей, 100% з них забезпечені адаптованими молочними сумішами.</t>
  </si>
  <si>
    <r>
      <t xml:space="preserve">Показник розрахований, виходячі з обсягів надходжень адаптованих молочних сумішей, які були закуплені </t>
    </r>
    <r>
      <rPr>
        <i/>
        <sz val="12"/>
        <rFont val="Times New Roman"/>
        <family val="1"/>
        <charset val="204"/>
      </rPr>
      <t>за кошти бюджету м. Києва</t>
    </r>
  </si>
  <si>
    <t>Кількість обстежених з числа цільових груп та загального населення у ЗОЗ та Кабінетах Довіри  м. Києва становить 94796 осіб, з них 61447 швидкими тестами, що більше ніж у три рази перевищує результати використання ШТ за аналогічний період 2017 року (18876). Загальна кількість обстежених на ВІЛ осіб у м. Києві (разом з іншими виконавцями Програми) - 167705 осіб за підсумками І півріччя.</t>
  </si>
  <si>
    <r>
      <t xml:space="preserve">У І півріччі заходи профінансовані з наступних джерел: </t>
    </r>
    <r>
      <rPr>
        <i/>
        <sz val="12"/>
        <rFont val="Times New Roman"/>
        <family val="1"/>
        <charset val="204"/>
      </rPr>
      <t>238,68 тис. грн. - бюджет м. Києва; 320,86 - AHF Ukraine; 4,56 тис. грн. - ГФ; 201,69 тис. грн. - ШТ надійшли в якості благодійної допомоги</t>
    </r>
  </si>
  <si>
    <t>Показник буде визначений за результатами фактичного виконання заходу впродовж року ( з урахуванням ІФА і ШТ). Станом на 01.07.2018 року середня вартість обстеження ШТ при зверненні до амбулаторних закладів 7752 грн., при обстежені у клінічній лікарні - 777 грн.</t>
  </si>
  <si>
    <r>
      <rPr>
        <b/>
        <sz val="12"/>
        <rFont val="Times New Roman"/>
        <family val="1"/>
        <charset val="204"/>
      </rPr>
      <t>Показник ефективності</t>
    </r>
    <r>
      <rPr>
        <sz val="12"/>
        <rFont val="Times New Roman"/>
        <family val="1"/>
        <charset val="204"/>
      </rPr>
      <t>: середня вартість виявлення 1 ЛЖВ у ЗОЗ, тис. грн.</t>
    </r>
  </si>
  <si>
    <r>
      <rPr>
        <b/>
        <sz val="12"/>
        <rFont val="Times New Roman"/>
        <family val="1"/>
        <charset val="204"/>
      </rPr>
      <t>Показник якості</t>
    </r>
    <r>
      <rPr>
        <sz val="12"/>
        <rFont val="Times New Roman"/>
        <family val="1"/>
        <charset val="204"/>
      </rPr>
      <t>: динаміка частки ЛЖВ, які знають свій ВІЛ-статус від оціночної чисельності ЛЖВ, відносно базового рівня - 47%</t>
    </r>
  </si>
  <si>
    <r>
      <t>Кількість ЛЖВ, які знають свій статус, становить 13237 осіб з ВІЛ-інфекцією (</t>
    </r>
    <r>
      <rPr>
        <i/>
        <sz val="12"/>
        <rFont val="Times New Roman"/>
        <family val="1"/>
        <charset val="204"/>
      </rPr>
      <t>без урахування дітей, народжених від ВІЛ-інфікованих матерів</t>
    </r>
    <r>
      <rPr>
        <sz val="12"/>
        <rFont val="Times New Roman"/>
        <family val="1"/>
        <charset val="204"/>
      </rPr>
      <t>)</t>
    </r>
  </si>
  <si>
    <t>Підготовлено проект наказу проведення міського дня тестування  на ВІЛ-інфекцію</t>
  </si>
  <si>
    <t>Обмеження в якості даних. У звітах НУО немає чіткого розділення витрат на окремі види товарів чи діяльності.  Показник має бути уточненй на підставі річних звітів з деталізацією витрат на ШТ</t>
  </si>
  <si>
    <t xml:space="preserve">Немає даних для визначення індикатору. </t>
  </si>
  <si>
    <t xml:space="preserve">Немає даних щодо витрат для визначення індикатору. </t>
  </si>
  <si>
    <t>Навчання лікарів проведено силами епідвідділу на безкоштовній основі</t>
  </si>
  <si>
    <r>
      <t xml:space="preserve">У І півріччі було у централізованому порядку отримано тест-системи та реагенти за </t>
    </r>
    <r>
      <rPr>
        <i/>
        <sz val="12"/>
        <rFont val="Times New Roman"/>
        <family val="1"/>
        <charset val="204"/>
      </rPr>
      <t xml:space="preserve">кошти Державного бюджету </t>
    </r>
    <r>
      <rPr>
        <sz val="12"/>
        <rFont val="Times New Roman"/>
        <family val="1"/>
        <charset val="204"/>
      </rPr>
      <t>2016 року. Наявні ресурси дозволили забезпечити проведення 100% підтверджувальних досліджень від кількості ВІЛ-позитивних результатів первинного скринінгу, які були отримані у звітному періоді.</t>
    </r>
  </si>
  <si>
    <r>
      <rPr>
        <i/>
        <sz val="12"/>
        <rFont val="Times New Roman"/>
        <family val="1"/>
        <charset val="204"/>
      </rPr>
      <t>Відсутня потреба в закупівлі на 2018 рік</t>
    </r>
    <r>
      <rPr>
        <sz val="12"/>
        <rFont val="Times New Roman"/>
        <family val="1"/>
        <charset val="204"/>
      </rPr>
      <t xml:space="preserve"> в звязку з наявними залишками та плановими постачаннями за рахунок Державного бюджету. Фактичні витрати дозволили у повному обсязі забезпечити потребу проведення досліджень відносно кількості ВІЛ-позитивних результатів первинного скринінгу</t>
    </r>
  </si>
  <si>
    <t xml:space="preserve">Інновація запроваджувалась у 2017 році. На сьгодні лише 107 ЛЖВ з числа виявлених та взятих на облік виявили готовність встати на облік у день отримання позитивного результату тестування на ВІЛ. В тім, суттєво збільшилась кількість ЛЖВ, яким було признчено АРТ в день взяття на дипасерний облік за принципом "тестуй і лікуй" </t>
  </si>
  <si>
    <t>За даними звіту за І півріччя 2018 року</t>
  </si>
  <si>
    <r>
      <t xml:space="preserve">У І півріччі заходи профінансовані з наступних джерел: </t>
    </r>
    <r>
      <rPr>
        <i/>
        <sz val="12"/>
        <rFont val="Times New Roman"/>
        <family val="1"/>
        <charset val="204"/>
      </rPr>
      <t>250,19 тис. грн. - AHF Ukraine; 2144,12 тис. грн. - ГФ; 600,28 тис. грн. - CDC</t>
    </r>
  </si>
  <si>
    <r>
      <t xml:space="preserve">У І півріччі заходи профінансовані з наступних джерел: </t>
    </r>
    <r>
      <rPr>
        <i/>
        <sz val="12"/>
        <rFont val="Times New Roman"/>
        <family val="1"/>
        <charset val="204"/>
      </rPr>
      <t>163,60 тис. грн. - Elton John AIDS Foundation; 1098,8 тис. грн. - ГФ; 130,17 тис. грн. - CDC</t>
    </r>
  </si>
  <si>
    <t>Тест-системи та реактики надійшли в якості благодійної допомоги</t>
  </si>
  <si>
    <t>Показник буде визначений за підсумками фінансування (витрат) за 2018 рік</t>
  </si>
  <si>
    <t>Хоча не досягнуто цільового показника, наявні ресурси дозволили у повному обсязі забезпечити клініко-лабораторне обстеження ЛЖВ при взятті під медичний нагляд</t>
  </si>
  <si>
    <r>
      <t xml:space="preserve">У І півріччі заходи профінансовані з наступних джерел: </t>
    </r>
    <r>
      <rPr>
        <i/>
        <sz val="12"/>
        <rFont val="Times New Roman"/>
        <family val="1"/>
        <charset val="204"/>
      </rPr>
      <t>127,61 тис. грн. - кошти бюджету м. Києва, 88,22 тис. грн. - отримані за кошти бюджету м. Києва 2017 року; 127,78 тис грн. - PEPFAR; 228,42 тис. грн. - кошти з інших джерел (у якості благодійної допомоги)</t>
    </r>
  </si>
  <si>
    <r>
      <t xml:space="preserve">У І півріччі заходи профінансовані з наступних джерел: </t>
    </r>
    <r>
      <rPr>
        <i/>
        <sz val="12"/>
        <rFont val="Times New Roman"/>
        <family val="1"/>
        <charset val="204"/>
      </rPr>
      <t xml:space="preserve">104,67 тис. грн. - AHF Ukraine; 36,12 тис. грн. - ГФ; 7,37 тис. грн. - інші кошти (не програмні кошти МБ)  </t>
    </r>
  </si>
  <si>
    <t>Охоплено 100% ЛЖВ, які мали показання до профілактики, незалежно від кількості таких осіб</t>
  </si>
  <si>
    <t>Дані щодо фінансування відсутні</t>
  </si>
  <si>
    <t>Дані для визначення показника відсутні</t>
  </si>
  <si>
    <t xml:space="preserve">У І півріччі призначено АРТ 1046 ЛЖВ. Станом на 01.07.2018 року фактично охоплено лікуванням 9072 хворих. </t>
  </si>
  <si>
    <t>Невиконання показника по набору пацієнтів на АРТ обумовлено відставанням у темпах виявлення і взяття під медичний нагляд ЛЖВ</t>
  </si>
  <si>
    <t>Зниження показника внаслідок економії коштів (зниження вартості препаратів для АРТ).</t>
  </si>
  <si>
    <r>
      <t xml:space="preserve">У І півріччі заходи профінансовані з наступних джерел: </t>
    </r>
    <r>
      <rPr>
        <i/>
        <sz val="12"/>
        <rFont val="Times New Roman"/>
        <family val="1"/>
        <charset val="204"/>
      </rPr>
      <t xml:space="preserve">17096,38 тис. грн. - ДБ; 7060,68 тис. грн. - ГФ; 2204,57 тис. грн. - PEPFAR; 32,89 тис. грн. - Благодійна організація "Фонд Олени Пінчук "АНТИСНІД"; 3177,07 тис. грн.- з інших джерел (у якості благодійної допомоги). </t>
    </r>
    <r>
      <rPr>
        <sz val="12"/>
        <rFont val="Times New Roman"/>
        <family val="1"/>
        <charset val="204"/>
      </rPr>
      <t xml:space="preserve">Відносне невиконання цільового показника обумовлено відстуністю запланованої у прогнозах кількістю пацієнтів. </t>
    </r>
  </si>
  <si>
    <t>Невиконання показника обумовлено складністю залучення до АРТ пацієнтів, які довгий час знають про свій статус і не мотивовані до початку АРТ</t>
  </si>
  <si>
    <t>Відхилення обумовлено низьким темпом виявлення людей з ВІЛ у ЗОЗ і втратою пацієнтів на етапі залучення до медичного нагляду</t>
  </si>
  <si>
    <t>Відхилення обумовлено тим, що лікарі-інфекціоністи самостійно признчають АРТ тільки ЛЖВ, яких виявлено на І-ІІ стадіях хвороби. Більш важкі пацієнти направляються на обстеження і лікування до КМЦ СНІДу</t>
  </si>
  <si>
    <t xml:space="preserve">Відхилення показника обумовлено відставання у наборі пацієнтів на лікування. Станом на 01.07.2018 року на базі КІЗ отримують АРТ 790 ЛЖВ, на базі аптечних закладів - 584 </t>
  </si>
  <si>
    <t>Показник розрахований без урахування ЛЖВ, які отримують АРТ у інфекціоністів на базі кабінетів Довіри КМЦ СНІДу. фекціоніста КМЦ СНІДу (3020)  та на базі КІЗ (532)</t>
  </si>
  <si>
    <t>Направлено лист на погодження до Департаменту Інформаційних технологій вих. №061/108-660 від 15.03.2018. Отримано лист відмову 04.04.2018 №175-938 та направлено новий лист щодо погодження закупівлі обладнання. Оголошно закупівлю UA-2018-06-08-002508-a</t>
  </si>
  <si>
    <t>Заплановано виконання на ІІ півріччя</t>
  </si>
  <si>
    <t>На сьогодні визначені 12 аптечних закладів</t>
  </si>
  <si>
    <t xml:space="preserve">Переведення пацієнтів на обслуговування до аптек відбувається за їх згодою. Наразі процес налажується </t>
  </si>
  <si>
    <r>
      <t xml:space="preserve">У І півріччі заходи профінансовані з наступних джерел: </t>
    </r>
    <r>
      <rPr>
        <i/>
        <sz val="12"/>
        <rFont val="Times New Roman"/>
        <family val="1"/>
        <charset val="204"/>
      </rPr>
      <t xml:space="preserve">190,29 тис. грн. - ГФ; 401,83 тис. грн. - CDC; 165,476 тис. грн. - Solidarite SIDA; 1176,922 тис. грн.- з інших джерел (кошти МБ через Департамент соціальної політики). </t>
    </r>
  </si>
  <si>
    <t>На підставі звітів НУО за І півріччя</t>
  </si>
  <si>
    <t xml:space="preserve">Значення показника визначено на підставі звітів НУО та Київського міського центру соціальних служб для сім'ї, дітей і молоді за І півріччя. </t>
  </si>
  <si>
    <r>
      <t xml:space="preserve">У І півріччі заходи профінансовані з наступних джерел: </t>
    </r>
    <r>
      <rPr>
        <i/>
        <sz val="12"/>
        <rFont val="Times New Roman"/>
        <family val="1"/>
        <charset val="204"/>
      </rPr>
      <t xml:space="preserve">10377,44 тис. грн. - ДБ; 2706,83 тис. грн. - PEPFAR; 196,05 тис. грн.- з інших джерел (кошти МБ через Департамент соціальної політики). </t>
    </r>
    <r>
      <rPr>
        <sz val="12"/>
        <rFont val="Times New Roman"/>
        <family val="1"/>
        <charset val="204"/>
      </rPr>
      <t>Вдіхилення від цільового показника обумовлено відставанням від прогнозованого темпу реалізації програми</t>
    </r>
  </si>
  <si>
    <t>Вдіхилення від цільового показника обумовлено відставанням від прогнозованого темпу реалізації програми</t>
  </si>
  <si>
    <t>Показник попередній (з числа осіб, які отримують АРТ понад 6 міс., та були обстежені у І півріччі)</t>
  </si>
  <si>
    <t>За даними звітів НУО за І півріччя</t>
  </si>
  <si>
    <r>
      <t>Підготовлено проект та затверджено наказ Департаменту охорони здоровя (№ 205 від 27.02.2018 р.), рішення засідання Координаційної ради; 2 протоколи доручень  (</t>
    </r>
    <r>
      <rPr>
        <i/>
        <sz val="12"/>
        <rFont val="Times New Roman"/>
        <family val="1"/>
        <charset val="204"/>
      </rPr>
      <t>потребує уточнення у ДОЗ</t>
    </r>
    <r>
      <rPr>
        <sz val="12"/>
        <rFont val="Times New Roman"/>
        <family val="1"/>
        <charset val="204"/>
      </rPr>
      <t>)</t>
    </r>
  </si>
  <si>
    <t xml:space="preserve">Показник визначений на підставі звітів НУО за 9 місяців </t>
  </si>
  <si>
    <t>Показник визначений на підставі звітів НУО за 9 місяців</t>
  </si>
  <si>
    <r>
      <t xml:space="preserve">Показник визначений на підставі звітів НУО за 9 місяців (100% </t>
    </r>
    <r>
      <rPr>
        <i/>
        <sz val="12"/>
        <color indexed="10"/>
        <rFont val="Times New Roman"/>
        <family val="1"/>
        <charset val="204"/>
      </rPr>
      <t>кошти ГФ</t>
    </r>
    <r>
      <rPr>
        <sz val="12"/>
        <color indexed="10"/>
        <rFont val="Times New Roman"/>
        <family val="1"/>
        <charset val="204"/>
      </rPr>
      <t>)</t>
    </r>
  </si>
  <si>
    <t>Інформація про виконання за 9 місяців 2018 року Міської цільової програми протидії епідемії  ВІЛ-інфекції на 2017-2021 роки</t>
  </si>
  <si>
    <t>Станом на 01.10.2018 року</t>
  </si>
  <si>
    <t>Діяльність реалізована за 9 місяців 2018 року в рамках пілотного проекту, який був запланований на 2017 рік</t>
  </si>
  <si>
    <t>А.О. Бодня</t>
  </si>
  <si>
    <t xml:space="preserve">В.о. головного лікаря </t>
  </si>
  <si>
    <t xml:space="preserve">Показник визначений на підставі звітів НУО за 9 місяців 2018 року.  </t>
  </si>
  <si>
    <t xml:space="preserve">Показник визначений на підставі звітів НУО за 9 місяців 2018 року  </t>
  </si>
  <si>
    <t xml:space="preserve">Показник визначений на підставі звітів НУО за 9 місяців 2018 року </t>
  </si>
  <si>
    <t>Реалізація силами НУО та за рахунок міжнародної технічної допомоги за 9 місяців 2018 року</t>
  </si>
  <si>
    <t>За даними звіту КМКЛ №5 та КМКНЛ "Соціотерапія" станом на 01.10.2018 року</t>
  </si>
  <si>
    <t>За даними звіту КМКЛ №5 та КМКНЛ "Соціотерапія" станом на 01.10.2018 року відносно чисельності осіб, які перебувають на диспансерному обілкув наслідок вживання опіоїдів - 5782.</t>
  </si>
  <si>
    <t>Відхилення від цільового показника обумовлено відставанням від прогнозованого темпу реалізації програми</t>
  </si>
  <si>
    <t>Кошторисом не передбачено, Лист на ДОЗ про перерозподіл № 061/108-270 від 02.02.2018 року</t>
  </si>
  <si>
    <t>Станом на 01.10.2018 року кількість дітей, народжених від ВІЛ-інфікованих матерів, віком до 1 року - 163 дітей, 100% з них забезпечені адаптованими молочними сумішами.</t>
  </si>
  <si>
    <t>За 9 міс. 2018 року призначено АРТ 1685 ЛЖВ.</t>
  </si>
  <si>
    <t xml:space="preserve">Відхилення показника обумовлено відставання у наборі пацієнтів на лікування. Станом на 01.10.2018 року на базі КІЗ отримують АРТ 949 ЛЖВ, на базі аптечних закладів - 605 </t>
  </si>
  <si>
    <t xml:space="preserve">Показник розрахований без урахування ЛЖВ, які отримують АРТ у інфекціоністів на базі кабінетів Довіри КМЦ СНІДу. </t>
  </si>
  <si>
    <t>В.о. головного лікаря</t>
  </si>
  <si>
    <t>А. Бодня</t>
  </si>
  <si>
    <t>Вик.: Загоровський, 450-45-50</t>
  </si>
  <si>
    <t>Вик.: Загоровський 450-45-50</t>
  </si>
  <si>
    <t>З числа осіб, які отримують АРТ понад 6 міс., та були обстежені за 9 міс. 2018 р.)</t>
  </si>
  <si>
    <t xml:space="preserve">Показник має суттєве відхилення від планового тому, що  лабораторне підтвердження ВІЛ-інфекції за кошти бюджету м. Києва не проводиться (тест-системи не закуповувалися), а проводиться за кошти Державного бюджету (тест-систем в достатній кількості). </t>
  </si>
  <si>
    <t xml:space="preserve">Інновація запроваджувалась у 2017 році. На сьгодні лише 166 ЛЖВ з числа виявлених та взятих на облік виявили готовність встати на облік у день отримання позитивного результату тестування на ВІЛ. В тім, суттєво збільшилась кількість ЛЖВ, яким було признчено АРТ в день взяття на дипасерний облік за принципом "тестуй і лікуй" </t>
  </si>
  <si>
    <t>Загалом станом на 01.10.2018 року 936 ЛЖВ переведені під нагляд до лікарів-інфекціоністів КІЗ (з числа 13822 ЛЖВ зареєстровані у м. Києві 12354 осіб)</t>
  </si>
  <si>
    <t xml:space="preserve">Річний показник. У 2018 році розраховується індикатор за 2016 рік згідно вимог наказу МОЗ України від 03.08.2012 №612 "Про затвердження форм первинної облікової документації та звітності з питань моніторингу заходів профілактики передачі ВІЛ від матері до дитини, інструкцій щодо їх заповнення". Визначається на підставі оцінки когорти дітей звітного (позаминулого) року - дітей, народжених від ВІЛ-інфікованих матерів у 2016 році </t>
  </si>
  <si>
    <t xml:space="preserve">Заплановано поступове зменшення частки пацієнтів, які отримують препарати ЗПТ за інші кошти, та розширення доступу до ЗПТ за кошти ДБ:  за 9 міс. 2018 року кількість таких пацієнтів зменшилась з 500 до 348. За власні кошти ЗПТ отримують 133 особи. </t>
  </si>
  <si>
    <t xml:space="preserve">З розрахунку на 961 пацієнта, які отримують ЗПТ за кошти ДБ та інші кошти. Препарати за кошти бюджету м. Києва будуть отримані у ІІІ кварталі поточного року. </t>
  </si>
  <si>
    <t xml:space="preserve">Річний показник. Показник попередній: розрахований на підставі даних, зазначених у звітах НУО: 6814 осіб були охоплені послугами мобільної амбулаторій </t>
  </si>
  <si>
    <t>Річний показник (відстуня інформація у звітах партнерських організацій за 9 міс. 2018 року)</t>
  </si>
  <si>
    <t>Загалом взято під медичне спостереження 1407 людей з ВІЛ/СНІД з вперше у житті діагностованою ВІЛ-інфекцією та 144 дитини, народжених від ВІЛ-інфікованих матерів</t>
  </si>
  <si>
    <t>За даними звіту за 9 міс. 2018 року</t>
  </si>
  <si>
    <t>Реалізація заходів із застосуванням швидких тестів дає позитивні результати щодо збільшення виявлення та охоплення ЛЖВ медичним наглядом. Впливає на значення показника частка ЛЖВ, які приховують свій статус від лікарів. Загалом АТ до ВІЛ виявлено у 608 осіб, з них 295 пацієнтів стали на облік.</t>
  </si>
  <si>
    <t xml:space="preserve">Всього кількість обстежених в м. Києві за 9 міс.2018 року становить 218248 осіб, з них у ЗОЗ та Кабінетах Довіри  - 80774 осіб </t>
  </si>
  <si>
    <t>За даними сероепідмоніторингу обстежено 1206 статевих партенрів ЛЖВ, з них 1048 швидкими тестами. Загалом виявлено  180 ВІЛ-позитивних статевих партнери ЛЖВ, з них 132 залучені до медичного нагляду.</t>
  </si>
  <si>
    <t xml:space="preserve">Показник буде визначений за результатами фактичного виконання заходу впродовж року ( з урахуванням ІФА і ШТ). </t>
  </si>
  <si>
    <t xml:space="preserve">Загалом за результатами скринінгу виявлено антитіла до ВІЛ у 2845 людей, з них у ЗОЗ та Кабінетах Довіри 1775 осіб. </t>
  </si>
  <si>
    <t xml:space="preserve">Показник розрахований за результатами тестуванням з використанням ІФА та ШТ відповідно до програми. Загальна результативність скринінгу у м. Києві за даними сероепідмоніторингу становить 1,3% (згідно таблиці 1000 ф. 2-ВІЛ/СНІД - квартальна) </t>
  </si>
  <si>
    <t>Показник за І півріччя 2018 року (за відсутністю даних по вперше діагностованим з ВІЛ)</t>
  </si>
  <si>
    <t>Досягнутий результат є кращим відносно І кварталу (41%), однак 50,5% виявлених осіб не звернулися до лікаря для подальшого спостереження та лікування людей ВІЛ/СНІДу</t>
  </si>
  <si>
    <t>Річний показник. Станом на 01.10.2018 року значене відхилення значення показника обумовлено відставання темпів децентралізації медичної допомоги ЛЖВ в частині виявлення та взяття на облік, що потребує налагодження перенаправлення пацієнта з позитивним результатом тестування ВІЛ до лікаря-інфекціоніста. За 9 місяців ЗОЗ (ПМСД, КДЦ) виявлено 247 осіб з ВІЛ, 150 були взяті на облік (у т.ч. 39 безпосередньо у КІЗ за місцем проживання - 26% з числа взятих на облік).</t>
  </si>
  <si>
    <t>Загалом отримали профілактику та лікування 3386 ЛЖВ, з них за кошти бюджету м. Києва 1562 осіб.</t>
  </si>
  <si>
    <t xml:space="preserve">Значення показника визначено на підставі звітів НУО та Київського міського центру соціальних служб для сім'ї, дітей і молоді за 9 місяців. </t>
  </si>
  <si>
    <t>На підставі звітів НУО та Київського міського центру соціальних служб для сім'ї, дітей і молоді за 9 міс. 2018 р.</t>
  </si>
  <si>
    <t>На підставі програмних звітів НУО та Київського міського центру соціальних служб для сім'ї, дітей і молоді за 9 міс. 2018 р.</t>
  </si>
  <si>
    <t>За даними прозвітів НУО за 9 міс.2018 р. Всі вперше виявлені особи з ВІЛ охоплені соціальним супроводом</t>
  </si>
  <si>
    <r>
      <t xml:space="preserve">Показник визначений на підставі звітів НУО за 9 місяців 2018 року (100% </t>
    </r>
    <r>
      <rPr>
        <i/>
        <sz val="12"/>
        <rFont val="Times New Roman"/>
        <family val="1"/>
        <charset val="204"/>
      </rPr>
      <t>кошти ГФ</t>
    </r>
    <r>
      <rPr>
        <sz val="12"/>
        <rFont val="Times New Roman"/>
        <family val="1"/>
        <charset val="204"/>
      </rPr>
      <t>)</t>
    </r>
  </si>
  <si>
    <r>
      <t>Показник продукту:</t>
    </r>
    <r>
      <rPr>
        <sz val="12"/>
        <rFont val="Times New Roman"/>
        <family val="1"/>
        <charset val="204"/>
      </rPr>
      <t xml:space="preserve"> кількість ЛВІН, які отримали послуги з профілактики ВІЛ</t>
    </r>
  </si>
  <si>
    <r>
      <t xml:space="preserve">Показник ефективності: </t>
    </r>
    <r>
      <rPr>
        <sz val="12"/>
        <rFont val="Times New Roman"/>
        <family val="1"/>
        <charset val="204"/>
      </rPr>
      <t>вартість комплексного пакету послуг на одного представника групи ЛВІН на рік, тис. грн.</t>
    </r>
  </si>
  <si>
    <r>
      <t>Показник якості:</t>
    </r>
    <r>
      <rPr>
        <i/>
        <sz val="12"/>
        <rFont val="Times New Roman"/>
        <family val="1"/>
        <charset val="204"/>
      </rPr>
      <t xml:space="preserve"> </t>
    </r>
    <r>
      <rPr>
        <sz val="12"/>
        <rFont val="Times New Roman"/>
        <family val="1"/>
        <charset val="204"/>
      </rPr>
      <t>динаміка</t>
    </r>
    <r>
      <rPr>
        <i/>
        <sz val="12"/>
        <rFont val="Times New Roman"/>
        <family val="1"/>
        <charset val="204"/>
      </rPr>
      <t xml:space="preserve"> </t>
    </r>
    <r>
      <rPr>
        <sz val="12"/>
        <rFont val="Times New Roman"/>
        <family val="1"/>
        <charset val="204"/>
      </rPr>
      <t>частки ЛВІН, які охоплені послугами з профілактики ВІЛ відносно базового показника – 50% від оціночної чисельності (%)</t>
    </r>
  </si>
  <si>
    <r>
      <t xml:space="preserve">Показник визначений на підставі звітів НУО за 9 місяців 2018 року, у т.ч. за джерелами: </t>
    </r>
    <r>
      <rPr>
        <i/>
        <sz val="12"/>
        <rFont val="Times New Roman"/>
        <family val="1"/>
        <charset val="204"/>
      </rPr>
      <t>ГФ - 7 084,76 тис. грн; 918,0 тис. грн. -  Elton John AIDS Foundation</t>
    </r>
  </si>
  <si>
    <r>
      <t>Показник продукту:</t>
    </r>
    <r>
      <rPr>
        <sz val="12"/>
        <rFont val="Times New Roman"/>
        <family val="1"/>
        <charset val="204"/>
      </rPr>
      <t xml:space="preserve"> кількість ЧСЧ, які отримали послуги з профілактики ВІЛ</t>
    </r>
  </si>
  <si>
    <r>
      <t xml:space="preserve">Показник ефективності: </t>
    </r>
    <r>
      <rPr>
        <sz val="12"/>
        <rFont val="Times New Roman"/>
        <family val="1"/>
        <charset val="204"/>
      </rPr>
      <t>вартість комплексного пакету послуг на одного представника групи ЧСЧ на рік, тис. грн.</t>
    </r>
  </si>
  <si>
    <r>
      <t>Показник якості:</t>
    </r>
    <r>
      <rPr>
        <i/>
        <sz val="12"/>
        <rFont val="Times New Roman"/>
        <family val="1"/>
        <charset val="204"/>
      </rPr>
      <t xml:space="preserve"> </t>
    </r>
    <r>
      <rPr>
        <sz val="12"/>
        <rFont val="Times New Roman"/>
        <family val="1"/>
        <charset val="204"/>
      </rPr>
      <t>динаміка</t>
    </r>
    <r>
      <rPr>
        <i/>
        <sz val="12"/>
        <rFont val="Times New Roman"/>
        <family val="1"/>
        <charset val="204"/>
      </rPr>
      <t xml:space="preserve"> </t>
    </r>
    <r>
      <rPr>
        <sz val="12"/>
        <rFont val="Times New Roman"/>
        <family val="1"/>
        <charset val="204"/>
      </rPr>
      <t>частки ЧСЧ, які охоплені послугами з профілактики ВІЛ відносно базового показника – 58% від оціночної чисельності (%)</t>
    </r>
  </si>
  <si>
    <r>
      <t xml:space="preserve">Показник визначений на підставі звітів НУО за 9 місяців (100% </t>
    </r>
    <r>
      <rPr>
        <i/>
        <sz val="12"/>
        <rFont val="Times New Roman"/>
        <family val="1"/>
        <charset val="204"/>
      </rPr>
      <t>кошти ГФ</t>
    </r>
    <r>
      <rPr>
        <sz val="12"/>
        <rFont val="Times New Roman"/>
        <family val="1"/>
        <charset val="204"/>
      </rPr>
      <t>)</t>
    </r>
  </si>
  <si>
    <r>
      <t xml:space="preserve">Показник визначений на підставі звтів НУО за 9 місяців 2018 року, у т.ч. за джерелами: </t>
    </r>
    <r>
      <rPr>
        <i/>
        <sz val="12"/>
        <rFont val="Times New Roman"/>
        <family val="1"/>
        <charset val="204"/>
      </rPr>
      <t>ГФ - 1 218,61 тис. грн; 272,0 тис. грн. -  Elton John AIDS Foundation</t>
    </r>
  </si>
  <si>
    <r>
      <t xml:space="preserve">Показник якості: </t>
    </r>
    <r>
      <rPr>
        <sz val="12"/>
        <rFont val="Times New Roman"/>
        <family val="1"/>
        <charset val="204"/>
      </rPr>
      <t>відсоток охоплення</t>
    </r>
    <r>
      <rPr>
        <b/>
        <sz val="12"/>
        <rFont val="Times New Roman"/>
        <family val="1"/>
        <charset val="204"/>
      </rPr>
      <t xml:space="preserve"> </t>
    </r>
    <r>
      <rPr>
        <sz val="12"/>
        <rFont val="Times New Roman"/>
        <family val="1"/>
        <charset val="204"/>
      </rPr>
      <t>ГПР інформаційними матеріалами</t>
    </r>
    <r>
      <rPr>
        <b/>
        <sz val="12"/>
        <rFont val="Times New Roman"/>
        <family val="1"/>
        <charset val="204"/>
      </rPr>
      <t xml:space="preserve"> з </t>
    </r>
    <r>
      <rPr>
        <sz val="12"/>
        <rFont val="Times New Roman"/>
        <family val="1"/>
        <charset val="204"/>
      </rPr>
      <t>питань запобігання інфікування ВІЛ (%)</t>
    </r>
  </si>
  <si>
    <r>
      <t>Показник продукту:</t>
    </r>
    <r>
      <rPr>
        <sz val="12"/>
        <rFont val="Times New Roman"/>
        <family val="1"/>
        <charset val="204"/>
      </rPr>
      <t xml:space="preserve"> розробка та впровадження нових заходів направлених на досяжність важкодоступних ГПР, маршрут пацієнта, тощо</t>
    </r>
  </si>
  <si>
    <r>
      <t xml:space="preserve">За даними звітів НУО за 9 місяців 2018 року впроваджувалися нові моделі: </t>
    </r>
    <r>
      <rPr>
        <i/>
        <sz val="12"/>
        <rFont val="Times New Roman"/>
        <family val="1"/>
        <charset val="204"/>
      </rPr>
      <t>модель OCF (Центр контролю і профілактики захворювань США (CDC);  нові маршрути для пошуку ТГ та підлітків з ГПР; залучення клієнтів з числа ТГ через мережу інтернет; проект HealthLink «Прискорення зусиль з протидії ВІЛ в Україні» (HealthLink) за підтримки Агентства  США з міжнародного розвитку (USAID)</t>
    </r>
  </si>
  <si>
    <r>
      <t xml:space="preserve">Показник якості: </t>
    </r>
    <r>
      <rPr>
        <sz val="12"/>
        <rFont val="Times New Roman"/>
        <family val="1"/>
        <charset val="204"/>
      </rPr>
      <t>збільшення частки осіб з числа ГПР, які охоплені профілактичними послугами</t>
    </r>
    <r>
      <rPr>
        <b/>
        <sz val="12"/>
        <rFont val="Times New Roman"/>
        <family val="1"/>
        <charset val="204"/>
      </rPr>
      <t xml:space="preserve"> з </t>
    </r>
    <r>
      <rPr>
        <sz val="12"/>
        <rFont val="Times New Roman"/>
        <family val="1"/>
        <charset val="204"/>
      </rPr>
      <t>питань ВІЛ (%)</t>
    </r>
  </si>
  <si>
    <r>
      <t xml:space="preserve">Показник визначений на підставі звітів НУО за 9 місяців 2018 року. </t>
    </r>
    <r>
      <rPr>
        <i/>
        <sz val="12"/>
        <rFont val="Times New Roman"/>
        <family val="1"/>
        <charset val="204"/>
      </rPr>
      <t xml:space="preserve">Фінансування за кошти ГФ. </t>
    </r>
  </si>
  <si>
    <r>
      <t>Показник продукту:</t>
    </r>
    <r>
      <rPr>
        <sz val="12"/>
        <rFont val="Times New Roman"/>
        <family val="1"/>
        <charset val="204"/>
      </rPr>
      <t xml:space="preserve"> кількість ЧСЧ, які отримали преконтактну профілактику  (</t>
    </r>
    <r>
      <rPr>
        <i/>
        <sz val="12"/>
        <rFont val="Times New Roman"/>
        <family val="1"/>
        <charset val="204"/>
      </rPr>
      <t>в рамках пілоту</t>
    </r>
    <r>
      <rPr>
        <sz val="12"/>
        <rFont val="Times New Roman"/>
        <family val="1"/>
        <charset val="204"/>
      </rPr>
      <t>)</t>
    </r>
  </si>
  <si>
    <r>
      <t>Показник ефективності</t>
    </r>
    <r>
      <rPr>
        <sz val="12"/>
        <rFont val="Times New Roman"/>
        <family val="1"/>
        <charset val="204"/>
      </rPr>
      <t>: витрати на проведення 1 курсу преконтактної профілактики, тис. грн.</t>
    </r>
  </si>
  <si>
    <r>
      <t>За даними Альянсу громадського здоровя для забезпечення преконтактної профілактики (РгЕР) антиретровірусними препаратами серед ЧСЧ за 9 місяців 2018 року закуплено АРП на суму 83,616 тис. грн. (</t>
    </r>
    <r>
      <rPr>
        <i/>
        <sz val="12"/>
        <rFont val="Times New Roman"/>
        <family val="1"/>
        <charset val="204"/>
      </rPr>
      <t>PEPFAR</t>
    </r>
    <r>
      <rPr>
        <sz val="12"/>
        <rFont val="Times New Roman"/>
        <family val="1"/>
        <charset val="204"/>
      </rPr>
      <t>)</t>
    </r>
  </si>
  <si>
    <r>
      <t>Показник якості:</t>
    </r>
    <r>
      <rPr>
        <sz val="12"/>
        <rFont val="Times New Roman"/>
        <family val="1"/>
        <charset val="204"/>
      </rPr>
      <t xml:space="preserve"> динаміка зміни частки ЧСЧ, які отримують  преконтактну профілактику  інфікування ВІЛ від оціночної чисельності ЧСЧ, порівняно з базовим рівнем – 0%</t>
    </r>
  </si>
  <si>
    <r>
      <t xml:space="preserve">Показник продукту: </t>
    </r>
    <r>
      <rPr>
        <sz val="12"/>
        <rFont val="Times New Roman"/>
        <family val="1"/>
        <charset val="204"/>
      </rPr>
      <t>кількість статевих партнерів ЛЖВ, яких було взято під медичне  спостереження</t>
    </r>
  </si>
  <si>
    <r>
      <t xml:space="preserve">Показник ефективності: </t>
    </r>
    <r>
      <rPr>
        <sz val="12"/>
        <rFont val="Times New Roman"/>
        <family val="1"/>
        <charset val="204"/>
      </rPr>
      <t>середній обсяг витрат на забезпечення залучення 1 статевого партнера ЛЖВ до медичного спостереження, тис. грн.</t>
    </r>
  </si>
  <si>
    <r>
      <t>Показник якості:</t>
    </r>
    <r>
      <rPr>
        <sz val="12"/>
        <rFont val="Times New Roman"/>
        <family val="1"/>
        <charset val="204"/>
      </rPr>
      <t xml:space="preserve"> динаміка</t>
    </r>
    <r>
      <rPr>
        <i/>
        <sz val="12"/>
        <rFont val="Times New Roman"/>
        <family val="1"/>
        <charset val="204"/>
      </rPr>
      <t xml:space="preserve"> </t>
    </r>
    <r>
      <rPr>
        <sz val="12"/>
        <rFont val="Times New Roman"/>
        <family val="1"/>
        <charset val="204"/>
      </rPr>
      <t xml:space="preserve">зміни частки статевих партнерів ЛЖВ, яких взято під медичне спостереження у разі виявлення ВІЛ серед осіб зазначеної категорії, %. Базовий показник – 20% </t>
    </r>
  </si>
  <si>
    <r>
      <t xml:space="preserve">Джерела забезпечення препаратами ЗПТ: </t>
    </r>
    <r>
      <rPr>
        <i/>
        <sz val="12"/>
        <rFont val="Times New Roman"/>
        <family val="1"/>
        <charset val="204"/>
      </rPr>
      <t>1010,06 тис. грн. - ДБ; 1178,19 тис. грн. - ГФ)</t>
    </r>
  </si>
  <si>
    <r>
      <t>За 9 міс. 2018 року заходи профінансовані з наступних джерел: 2773,98</t>
    </r>
    <r>
      <rPr>
        <i/>
        <sz val="12"/>
        <rFont val="Times New Roman"/>
        <family val="1"/>
        <charset val="204"/>
      </rPr>
      <t xml:space="preserve"> тис. грн. - ДБ; 798,34 тис. грн. - бюджет м. Києва</t>
    </r>
  </si>
  <si>
    <r>
      <t>Показник продукту:</t>
    </r>
    <r>
      <rPr>
        <sz val="12"/>
        <rFont val="Times New Roman"/>
        <family val="1"/>
        <charset val="204"/>
      </rPr>
      <t xml:space="preserve"> кількість</t>
    </r>
    <r>
      <rPr>
        <b/>
        <sz val="12"/>
        <rFont val="Times New Roman"/>
        <family val="1"/>
        <charset val="204"/>
      </rPr>
      <t xml:space="preserve"> </t>
    </r>
    <r>
      <rPr>
        <sz val="12"/>
        <rFont val="Times New Roman"/>
        <family val="1"/>
        <charset val="204"/>
      </rPr>
      <t>вагітних</t>
    </r>
    <r>
      <rPr>
        <b/>
        <sz val="12"/>
        <rFont val="Times New Roman"/>
        <family val="1"/>
        <charset val="204"/>
      </rPr>
      <t xml:space="preserve"> </t>
    </r>
    <r>
      <rPr>
        <sz val="12"/>
        <rFont val="Times New Roman"/>
        <family val="1"/>
        <charset val="204"/>
      </rPr>
      <t>жінок, охоплених обстеженням на ВІЛ-інфекцію, осіб</t>
    </r>
  </si>
  <si>
    <r>
      <rPr>
        <b/>
        <sz val="12"/>
        <rFont val="Times New Roman"/>
        <family val="1"/>
        <charset val="204"/>
      </rPr>
      <t>Показник продукту:</t>
    </r>
    <r>
      <rPr>
        <sz val="12"/>
        <rFont val="Times New Roman"/>
        <family val="1"/>
        <charset val="204"/>
      </rPr>
      <t xml:space="preserve"> кількість дітей першого року життя, народжених ВІЛ-інфікованими матерями, які забезпечені  адаптованими молочними сумішами, осіб</t>
    </r>
  </si>
  <si>
    <r>
      <rPr>
        <b/>
        <sz val="12"/>
        <rFont val="Times New Roman"/>
        <family val="1"/>
        <charset val="204"/>
      </rPr>
      <t>Показник ефективності</t>
    </r>
    <r>
      <rPr>
        <sz val="12"/>
        <rFont val="Times New Roman"/>
        <family val="1"/>
        <charset val="204"/>
      </rPr>
      <t>: вартість вигодування 1 дитини, народженої від ВІЛ-інфікованої жінки на рік, тис. грн.</t>
    </r>
  </si>
  <si>
    <r>
      <rPr>
        <b/>
        <sz val="12"/>
        <rFont val="Times New Roman"/>
        <family val="1"/>
        <charset val="204"/>
      </rPr>
      <t>Показник продукту</t>
    </r>
    <r>
      <rPr>
        <sz val="12"/>
        <rFont val="Times New Roman"/>
        <family val="1"/>
        <charset val="204"/>
      </rPr>
      <t>: кількість дітей, які народжені від ВІЛ-інфікованих жінок, які  забезпечені антиретровірусними препаратами для профілактики передачі ВІЛ-інфекції від матері до дитини</t>
    </r>
  </si>
  <si>
    <r>
      <rPr>
        <b/>
        <sz val="12"/>
        <rFont val="Times New Roman"/>
        <family val="1"/>
        <charset val="204"/>
      </rPr>
      <t>Показник якості</t>
    </r>
    <r>
      <rPr>
        <sz val="12"/>
        <rFont val="Times New Roman"/>
        <family val="1"/>
        <charset val="204"/>
      </rPr>
      <t>: зменшення рівня передачі ВІЛ-інфекції від матері до дитини. Базове значення показника – 4,6% (2014 р.)</t>
    </r>
  </si>
  <si>
    <r>
      <t>Показник продукту:</t>
    </r>
    <r>
      <rPr>
        <sz val="12"/>
        <rFont val="Times New Roman"/>
        <family val="1"/>
        <charset val="204"/>
      </rPr>
      <t xml:space="preserve"> кількість осіб, які пройшли навчання з надання комплексних профілактичних послуг ГПР у щодо інфікування ВІЛ</t>
    </r>
  </si>
  <si>
    <r>
      <t xml:space="preserve">Показник ефективності: </t>
    </r>
    <r>
      <rPr>
        <sz val="12"/>
        <rFont val="Times New Roman"/>
        <family val="1"/>
        <charset val="204"/>
      </rPr>
      <t>витрати на проведення навчання на рік, тис. грн.</t>
    </r>
  </si>
  <si>
    <r>
      <t xml:space="preserve">Показник якості: </t>
    </r>
    <r>
      <rPr>
        <sz val="12"/>
        <rFont val="Times New Roman"/>
        <family val="1"/>
        <charset val="204"/>
      </rPr>
      <t>збільшення частки соціальних працівників, які пройшли навчання відносно базового рівня 70%</t>
    </r>
  </si>
  <si>
    <r>
      <t>За 9 міс. 2018 року заходи профінансовані з наступних джерел: 951,50</t>
    </r>
    <r>
      <rPr>
        <i/>
        <sz val="12"/>
        <rFont val="Times New Roman"/>
        <family val="1"/>
        <charset val="204"/>
      </rPr>
      <t xml:space="preserve"> тис. грн. - бюджет м. Києва; 7,84 тис. грн. - ГФ; 316,50 тис. грн. - ШТ надійшли в якості благодійної допомоги</t>
    </r>
  </si>
  <si>
    <r>
      <rPr>
        <b/>
        <sz val="12"/>
        <rFont val="Times New Roman"/>
        <family val="1"/>
        <charset val="204"/>
      </rPr>
      <t>Показник якості</t>
    </r>
    <r>
      <rPr>
        <sz val="12"/>
        <rFont val="Times New Roman"/>
        <family val="1"/>
        <charset val="204"/>
      </rPr>
      <t>: відсоток позитивних результатів тестування на ВІЛ-інфекції, %</t>
    </r>
  </si>
  <si>
    <r>
      <t xml:space="preserve">Кількість ЛЖВ, які знають свій статус, становить 13822 осіб з ВІЛ-інфекцією </t>
    </r>
    <r>
      <rPr>
        <i/>
        <sz val="12"/>
        <rFont val="Times New Roman"/>
        <family val="1"/>
        <charset val="204"/>
      </rPr>
      <t>(з урахування дітей, народжених від ВІЛ-інфікованих матерів</t>
    </r>
    <r>
      <rPr>
        <sz val="12"/>
        <rFont val="Times New Roman"/>
        <family val="1"/>
        <charset val="204"/>
      </rPr>
      <t>)</t>
    </r>
  </si>
  <si>
    <r>
      <rPr>
        <b/>
        <sz val="12"/>
        <rFont val="Times New Roman"/>
        <family val="1"/>
        <charset val="204"/>
      </rPr>
      <t>Показник продукту</t>
    </r>
    <r>
      <rPr>
        <sz val="12"/>
        <rFont val="Times New Roman"/>
        <family val="1"/>
        <charset val="204"/>
      </rPr>
      <t>: проведення міського дня тестування  на ВІЛ-інфекцію на рік, одиниць</t>
    </r>
  </si>
  <si>
    <r>
      <rPr>
        <b/>
        <sz val="12"/>
        <rFont val="Times New Roman"/>
        <family val="1"/>
        <charset val="204"/>
      </rPr>
      <t>Показник якості</t>
    </r>
    <r>
      <rPr>
        <sz val="12"/>
        <rFont val="Times New Roman"/>
        <family val="1"/>
        <charset val="204"/>
      </rPr>
      <t>: динаміка кількості людей, які обстежені під час проведення міського дня  тестування  на ВІЛ-інфекцію (базовий показник – 0), осіб</t>
    </r>
  </si>
  <si>
    <r>
      <t xml:space="preserve">За 9 міс. 2018 року заходи профінансовані з наступних джерел: </t>
    </r>
    <r>
      <rPr>
        <i/>
        <sz val="12"/>
        <rFont val="Times New Roman"/>
        <family val="1"/>
        <charset val="204"/>
      </rPr>
      <t>1618,66 тис. грн. - ГФ; 309,12 тис. грн. -  Elton John AIDS Foundation</t>
    </r>
  </si>
  <si>
    <r>
      <t xml:space="preserve">Показник продукту: </t>
    </r>
    <r>
      <rPr>
        <sz val="12"/>
        <rFont val="Times New Roman"/>
        <family val="1"/>
        <charset val="204"/>
      </rPr>
      <t>кількість осіб з числа ГПР, у яких було діагностовано ВІЛ на базі НУО</t>
    </r>
  </si>
  <si>
    <r>
      <t xml:space="preserve">Показник ефективності: </t>
    </r>
    <r>
      <rPr>
        <sz val="12"/>
        <rFont val="Times New Roman"/>
        <family val="1"/>
        <charset val="204"/>
      </rPr>
      <t>вартість виявлення 1 ЛЖВ з числа ГПР на базі НУО</t>
    </r>
  </si>
  <si>
    <r>
      <t>Показник якості:</t>
    </r>
    <r>
      <rPr>
        <sz val="12"/>
        <rFont val="Times New Roman"/>
        <family val="1"/>
        <charset val="204"/>
      </rPr>
      <t xml:space="preserve"> результативність (або відсоток позитивних результатів) тестування ГПР на ВІЛ-інфекцію, %</t>
    </r>
  </si>
  <si>
    <r>
      <t xml:space="preserve">Показник продукту: </t>
    </r>
    <r>
      <rPr>
        <sz val="12"/>
        <rFont val="Times New Roman"/>
        <family val="1"/>
        <charset val="204"/>
      </rPr>
      <t>проведення зовнішньої оцінки якості досліджень з використанням швидких тестів на рік</t>
    </r>
  </si>
  <si>
    <r>
      <t xml:space="preserve">Показник якості: </t>
    </r>
    <r>
      <rPr>
        <sz val="12"/>
        <rFont val="Times New Roman"/>
        <family val="1"/>
        <charset val="204"/>
      </rPr>
      <t>Забезпечено належного рівню якості досліджень з використанням швидких тестів</t>
    </r>
  </si>
  <si>
    <r>
      <rPr>
        <b/>
        <sz val="12"/>
        <rFont val="Times New Roman"/>
        <family val="1"/>
        <charset val="204"/>
      </rPr>
      <t xml:space="preserve">Показник затрат </t>
    </r>
    <r>
      <rPr>
        <sz val="12"/>
        <rFont val="Times New Roman"/>
        <family val="1"/>
        <charset val="204"/>
      </rPr>
      <t>(ДБ), тис. грн</t>
    </r>
  </si>
  <si>
    <r>
      <t xml:space="preserve">За 9 місяців 2018 року було у централізованому порядку отримано тест-системи та реагенти за </t>
    </r>
    <r>
      <rPr>
        <i/>
        <sz val="12"/>
        <rFont val="Times New Roman"/>
        <family val="1"/>
        <charset val="204"/>
      </rPr>
      <t xml:space="preserve">кошти Державного бюджету </t>
    </r>
    <r>
      <rPr>
        <sz val="12"/>
        <rFont val="Times New Roman"/>
        <family val="1"/>
        <charset val="204"/>
      </rPr>
      <t>2016 року. Наявні ресурси дозволили забезпечити проведення 100% підтверджувальних досліджень від кількості ВІЛ-позитивних результатів первинного скринінгу, які були отримані у звітному періоді.</t>
    </r>
  </si>
  <si>
    <r>
      <rPr>
        <b/>
        <sz val="12"/>
        <rFont val="Times New Roman"/>
        <family val="1"/>
        <charset val="204"/>
      </rPr>
      <t>Показник продукту</t>
    </r>
    <r>
      <rPr>
        <sz val="12"/>
        <rFont val="Times New Roman"/>
        <family val="1"/>
        <charset val="204"/>
      </rPr>
      <t xml:space="preserve">: кількість осіб, якім проведено лабораторне підтвердження ВІЛ-інфекції (за кошти Державного бюджету), осіб </t>
    </r>
  </si>
  <si>
    <r>
      <rPr>
        <b/>
        <sz val="12"/>
        <rFont val="Times New Roman"/>
        <family val="1"/>
        <charset val="204"/>
      </rPr>
      <t>Показник затрат</t>
    </r>
    <r>
      <rPr>
        <sz val="12"/>
        <rFont val="Times New Roman"/>
        <family val="1"/>
        <charset val="204"/>
      </rPr>
      <t xml:space="preserve"> (МБ), тис. грн</t>
    </r>
  </si>
  <si>
    <r>
      <rPr>
        <b/>
        <sz val="12"/>
        <rFont val="Times New Roman"/>
        <family val="1"/>
        <charset val="204"/>
      </rPr>
      <t>Показник продукту</t>
    </r>
    <r>
      <rPr>
        <sz val="12"/>
        <rFont val="Times New Roman"/>
        <family val="1"/>
        <charset val="204"/>
      </rPr>
      <t xml:space="preserve">: кількість осіб, якім проведено лабораторне підтвердження ВІЛ-інфекції за кошти бюджету м. Києва, осіб </t>
    </r>
  </si>
  <si>
    <r>
      <rPr>
        <b/>
        <sz val="12"/>
        <rFont val="Times New Roman"/>
        <family val="1"/>
        <charset val="204"/>
      </rPr>
      <t>Показник продукту</t>
    </r>
    <r>
      <rPr>
        <sz val="12"/>
        <rFont val="Times New Roman"/>
        <family val="1"/>
        <charset val="204"/>
      </rPr>
      <t>: кількість зареєстрованих нових випадків ВІЛ-інфекції</t>
    </r>
  </si>
  <si>
    <r>
      <rPr>
        <b/>
        <sz val="12"/>
        <rFont val="Times New Roman"/>
        <family val="1"/>
        <charset val="204"/>
      </rPr>
      <t>Показник ефективності</t>
    </r>
    <r>
      <rPr>
        <sz val="12"/>
        <rFont val="Times New Roman"/>
        <family val="1"/>
        <charset val="204"/>
      </rPr>
      <t>: середні витрати на реєстрацію 1 випадку ВІЛ-інфекції, тис. грн.</t>
    </r>
  </si>
  <si>
    <r>
      <rPr>
        <b/>
        <sz val="12"/>
        <rFont val="Times New Roman"/>
        <family val="1"/>
        <charset val="204"/>
      </rPr>
      <t>Показник якості</t>
    </r>
    <r>
      <rPr>
        <sz val="12"/>
        <rFont val="Times New Roman"/>
        <family val="1"/>
        <charset val="204"/>
      </rPr>
      <t xml:space="preserve">: загальна чисельність ЛЖВ, які знають свій статус </t>
    </r>
  </si>
  <si>
    <r>
      <rPr>
        <b/>
        <sz val="12"/>
        <rFont val="Times New Roman"/>
        <family val="1"/>
        <charset val="204"/>
      </rPr>
      <t>Показник якості</t>
    </r>
    <r>
      <rPr>
        <sz val="12"/>
        <rFont val="Times New Roman"/>
        <family val="1"/>
        <charset val="204"/>
      </rPr>
      <t xml:space="preserve">: динаміка частки ЛЖВ,  які знають свій ВІЛ-статус (від оціночної чисельності ЛЖВ), відносно базового рівня - 47% </t>
    </r>
  </si>
  <si>
    <r>
      <rPr>
        <b/>
        <sz val="12"/>
        <rFont val="Times New Roman"/>
        <family val="1"/>
        <charset val="204"/>
      </rPr>
      <t>Показник продукту</t>
    </r>
    <r>
      <rPr>
        <sz val="12"/>
        <rFont val="Times New Roman"/>
        <family val="1"/>
        <charset val="204"/>
      </rPr>
      <t xml:space="preserve">: кількість осіб, у яких діагностовано ВІЛ-інфекцію під час перебування на стаціонарному лікуванні </t>
    </r>
  </si>
  <si>
    <r>
      <t xml:space="preserve">За 9 міс. 2018 р. заходи профінансовані з наступних джерел: </t>
    </r>
    <r>
      <rPr>
        <i/>
        <sz val="12"/>
        <rFont val="Times New Roman"/>
        <family val="1"/>
        <charset val="204"/>
      </rPr>
      <t>163,60 тис. грн. - Elton John AIDS Foundation; 1098,8 тис. грн. - ГФ; 130,17 тис. грн. - CDC</t>
    </r>
  </si>
  <si>
    <r>
      <rPr>
        <b/>
        <sz val="12"/>
        <rFont val="Times New Roman"/>
        <family val="1"/>
        <charset val="204"/>
      </rPr>
      <t>Показник продукту</t>
    </r>
    <r>
      <rPr>
        <sz val="12"/>
        <rFont val="Times New Roman"/>
        <family val="1"/>
        <charset val="204"/>
      </rPr>
      <t>: кількість ЛЖВ з числа ГПР, які звернулися за направленням НУО для отриманням допомоги</t>
    </r>
  </si>
  <si>
    <r>
      <rPr>
        <b/>
        <sz val="12"/>
        <rFont val="Times New Roman"/>
        <family val="1"/>
        <charset val="204"/>
      </rPr>
      <t>Показник ефективності</t>
    </r>
    <r>
      <rPr>
        <sz val="12"/>
        <rFont val="Times New Roman"/>
        <family val="1"/>
        <charset val="204"/>
      </rPr>
      <t xml:space="preserve">: вартість витрат на супровід ЛЖВ до закладу медичного здоров’я  </t>
    </r>
  </si>
  <si>
    <r>
      <rPr>
        <b/>
        <sz val="12"/>
        <rFont val="Times New Roman"/>
        <family val="1"/>
        <charset val="204"/>
      </rPr>
      <t>Показник затрат</t>
    </r>
    <r>
      <rPr>
        <sz val="12"/>
        <rFont val="Times New Roman"/>
        <family val="1"/>
        <charset val="204"/>
      </rPr>
      <t xml:space="preserve">: тис. грн. </t>
    </r>
  </si>
  <si>
    <r>
      <rPr>
        <b/>
        <sz val="12"/>
        <rFont val="Times New Roman"/>
        <family val="1"/>
        <charset val="204"/>
      </rPr>
      <t>Показник продукту:</t>
    </r>
    <r>
      <rPr>
        <sz val="12"/>
        <rFont val="Times New Roman"/>
        <family val="1"/>
        <charset val="204"/>
      </rPr>
      <t xml:space="preserve"> кількість ЛЖВ, які обстежені на опортуністичні інфекції при взятті під медичний нагляд </t>
    </r>
  </si>
  <si>
    <r>
      <rPr>
        <b/>
        <sz val="12"/>
        <rFont val="Times New Roman"/>
        <family val="1"/>
        <charset val="204"/>
      </rPr>
      <t>Показник ефективності</t>
    </r>
    <r>
      <rPr>
        <sz val="12"/>
        <rFont val="Times New Roman"/>
        <family val="1"/>
        <charset val="204"/>
      </rPr>
      <t xml:space="preserve">: середня вартість лабораторного обстеження на опортуністичні інфекції 1 первинного пацієнта </t>
    </r>
  </si>
  <si>
    <r>
      <rPr>
        <b/>
        <sz val="12"/>
        <rFont val="Times New Roman"/>
        <family val="1"/>
        <charset val="204"/>
      </rPr>
      <t>Показник якості:</t>
    </r>
    <r>
      <rPr>
        <sz val="12"/>
        <rFont val="Times New Roman"/>
        <family val="1"/>
        <charset val="204"/>
      </rPr>
      <t xml:space="preserve"> динаміка частки ЛЖВ, які  обстежені на опортуністичні інфекції від числа взятих під медичний нагляд. Базовий рівень показника – 30% </t>
    </r>
  </si>
  <si>
    <r>
      <t>У І півріччі заходи профінансовані з наступних джерел: 932,53</t>
    </r>
    <r>
      <rPr>
        <i/>
        <sz val="12"/>
        <rFont val="Times New Roman"/>
        <family val="1"/>
        <charset val="204"/>
      </rPr>
      <t xml:space="preserve"> тис. грн. - кошти бюджету м. Києва, 681,31 тис. грн. - кошти з інших джерел (у якості благодійної допомоги)</t>
    </r>
  </si>
  <si>
    <r>
      <t xml:space="preserve">Показник продукту: </t>
    </r>
    <r>
      <rPr>
        <sz val="12"/>
        <rFont val="Times New Roman"/>
        <family val="1"/>
        <charset val="204"/>
      </rPr>
      <t xml:space="preserve">кількість ЛЖВ, які охоплені клініко-лабораторним обстеженням </t>
    </r>
  </si>
  <si>
    <r>
      <t xml:space="preserve">Показник ефективності: </t>
    </r>
    <r>
      <rPr>
        <sz val="12"/>
        <rFont val="Times New Roman"/>
        <family val="1"/>
        <charset val="204"/>
      </rPr>
      <t>середня вартість клініко-лабораторного  обстеження 1 ЛЖВ при взятті під медичний нагляд</t>
    </r>
  </si>
  <si>
    <r>
      <t xml:space="preserve">Показник якості: </t>
    </r>
    <r>
      <rPr>
        <sz val="12"/>
        <rFont val="Times New Roman"/>
        <family val="1"/>
        <charset val="204"/>
      </rPr>
      <t>динаміка охоплення клініко-лабораторним обстеженням ЛЖВ при взятті під медичний нагляд. Базовий рівень показника 80%</t>
    </r>
  </si>
  <si>
    <r>
      <t>За 9 міс. 2018 року заходи профінансовані з наступних джерел:  1620,29 тис. грн. - кошти бюджету м. Києва, 173,14</t>
    </r>
    <r>
      <rPr>
        <i/>
        <sz val="12"/>
        <rFont val="Times New Roman"/>
        <family val="1"/>
        <charset val="204"/>
      </rPr>
      <t xml:space="preserve"> тис. грн. - інші кошти </t>
    </r>
  </si>
  <si>
    <r>
      <t xml:space="preserve">Показник продукту: </t>
    </r>
    <r>
      <rPr>
        <sz val="12"/>
        <rFont val="Times New Roman"/>
        <family val="1"/>
        <charset val="204"/>
      </rPr>
      <t>кількість ЛЖВ, які отримали лікування опортуністичних інфекцій</t>
    </r>
  </si>
  <si>
    <r>
      <t xml:space="preserve">Показник ефективності: </t>
    </r>
    <r>
      <rPr>
        <sz val="12"/>
        <rFont val="Times New Roman"/>
        <family val="1"/>
        <charset val="204"/>
      </rPr>
      <t xml:space="preserve">середня вартість профілактики і лікування опортуністичних інфекцій на 1 ЛЖВ на рік, тис. грн. </t>
    </r>
  </si>
  <si>
    <r>
      <t xml:space="preserve">Показники продукту: </t>
    </r>
    <r>
      <rPr>
        <sz val="12"/>
        <rFont val="Times New Roman"/>
        <family val="1"/>
        <charset val="204"/>
      </rPr>
      <t>кількість лікарів-інфекціоністів закладів охорони здоров’я вторинного рівня надання медичної допомоги які пройшли навчання з питань діагностики та лікування ВІЛ-інфекції/СНІДу, осіб</t>
    </r>
  </si>
  <si>
    <r>
      <t xml:space="preserve">Показник ефективності: </t>
    </r>
    <r>
      <rPr>
        <sz val="12"/>
        <rFont val="Times New Roman"/>
        <family val="1"/>
        <charset val="204"/>
      </rPr>
      <t xml:space="preserve">середня вартість навчання, тис. грн. </t>
    </r>
  </si>
  <si>
    <r>
      <t xml:space="preserve">Показник якості: </t>
    </r>
    <r>
      <rPr>
        <sz val="12"/>
        <rFont val="Times New Roman"/>
        <family val="1"/>
        <charset val="204"/>
      </rPr>
      <t>динаміка показника відсотка лікарів-інфекціоністів ЗОЗ вторинного рівня надання медичної допомоги, які мають відповідну підготовку з питань діагностики та лікування ВІЛ-інфекції/СНІДу. Базовий рівень – 3%</t>
    </r>
  </si>
  <si>
    <r>
      <t>За 9 міс. 2018 року заходи профінансовані з наступних джерел: 26 648,90</t>
    </r>
    <r>
      <rPr>
        <i/>
        <sz val="12"/>
        <rFont val="Times New Roman"/>
        <family val="1"/>
        <charset val="204"/>
      </rPr>
      <t xml:space="preserve"> тис. грн. - ДБ; 7021,84 тис. грн. - ГФ; 6016,83 тис. грн. - PEPFAR; 2236,04 тис. грн. - Благодійна організація "Фонд Олени Пінчук "АНТИСНІД". </t>
    </r>
    <r>
      <rPr>
        <sz val="12"/>
        <rFont val="Times New Roman"/>
        <family val="1"/>
        <charset val="204"/>
      </rPr>
      <t xml:space="preserve">Відносне невиконання цільового показника обумовлено відстуністю запланованої у прогнозах кількістю пацієнтів. </t>
    </r>
  </si>
  <si>
    <r>
      <t>За 9 міс. 2018 року заходи профінансовані з наступних джерел: 842,71</t>
    </r>
    <r>
      <rPr>
        <i/>
        <sz val="12"/>
        <rFont val="Times New Roman"/>
        <family val="1"/>
        <charset val="204"/>
      </rPr>
      <t xml:space="preserve"> тис. грн. - ГФ; 318,87 тис. грн. - CDC; 160,00 тис. грн. - Elton John AIDS Foundation</t>
    </r>
  </si>
  <si>
    <r>
      <t xml:space="preserve">За 9 міс. 2018 р. заходи профінансовані з наступних джерел: </t>
    </r>
    <r>
      <rPr>
        <i/>
        <sz val="12"/>
        <rFont val="Times New Roman"/>
        <family val="1"/>
        <charset val="204"/>
      </rPr>
      <t xml:space="preserve">10377,44 тис. грн. - ДБ; 2706,83 тис. грн. - PEPFAR; 3468,72 тис. грн.- з інших джерел (кошти МБ через Департамент соціальної політики). </t>
    </r>
    <r>
      <rPr>
        <sz val="12"/>
        <rFont val="Times New Roman"/>
        <family val="1"/>
        <charset val="204"/>
      </rPr>
      <t>Відхилення від цільового показника обумовлено відставанням від прогнозованого темпу реалізації програми</t>
    </r>
  </si>
  <si>
    <r>
      <t>Підготовлено проект та затверджено наказ Департаменту охорони здоровя (№ 205 від 27.02.2018 р.), рішення засідання Координаційної ради; 3 протоколи доручень  (</t>
    </r>
    <r>
      <rPr>
        <i/>
        <sz val="12"/>
        <rFont val="Times New Roman"/>
        <family val="1"/>
        <charset val="204"/>
      </rPr>
      <t>потребує уточнення у ДОЗ</t>
    </r>
    <r>
      <rPr>
        <sz val="12"/>
        <rFont val="Times New Roman"/>
        <family val="1"/>
        <charset val="204"/>
      </rPr>
      <t>)</t>
    </r>
  </si>
  <si>
    <r>
      <t>За даними Альянсу громадського здоровя для забезпечення преконтактної профілактики (РгЕР) серед ЧСЧ за 9 місяців 2018 року обсяг фінансування склав 1673,02 тис. грн., у т.ч. АРП на суму 234,70 тис. грн. (</t>
    </r>
    <r>
      <rPr>
        <i/>
        <sz val="12"/>
        <rFont val="Times New Roman"/>
        <family val="1"/>
        <charset val="204"/>
      </rPr>
      <t>PEPFAR</t>
    </r>
    <r>
      <rPr>
        <sz val="12"/>
        <rFont val="Times New Roman"/>
        <family val="1"/>
        <charset val="204"/>
      </rPr>
      <t>)</t>
    </r>
  </si>
  <si>
    <r>
      <t xml:space="preserve">Проведено закупівлю товарів </t>
    </r>
    <r>
      <rPr>
        <i/>
        <sz val="12"/>
        <rFont val="Times New Roman"/>
        <family val="1"/>
        <charset val="204"/>
      </rPr>
      <t>за кошти бюджету м. Києва</t>
    </r>
    <r>
      <rPr>
        <sz val="12"/>
        <rFont val="Times New Roman"/>
        <family val="1"/>
        <charset val="204"/>
      </rPr>
      <t xml:space="preserve"> та укладено договори на суму 192,66 тис. грн., отримано товарів на суму 192,66 тис. грн. Проведено закупівлю препаратів ЗПТ на суму 710,50 тис. грн., отримано препаратів на суму 96,13 тис. грн.</t>
    </r>
  </si>
  <si>
    <t xml:space="preserve">Показник за даними звітів НУО за 9 міс. 2018 р. </t>
  </si>
  <si>
    <t>За даними наданих звітів НУО за 9 міс. 2018 р.</t>
  </si>
  <si>
    <t>Додаток 1</t>
  </si>
  <si>
    <t>5.1.3. Гематологічні дослідження</t>
  </si>
  <si>
    <t>Інформація про виконання програми за 2019 рік</t>
  </si>
  <si>
    <t>плановий  обсяг фінансування бюджет м.Києва   46 665,72 тис.грн.</t>
  </si>
  <si>
    <t>бюджет             м. Києва </t>
  </si>
  <si>
    <t>бюджет            м. Києва </t>
  </si>
  <si>
    <t>затвержений кошторис зі змінами  бюджет м.Києва  12 507,74 тис.грн</t>
  </si>
  <si>
    <t>Директор                                                                                                                  Валентина ГІНЗБУРГ</t>
  </si>
  <si>
    <t>Заступник директора – начальник                                 Галина ЗБОРОМИРСЬКА</t>
  </si>
  <si>
    <t xml:space="preserve">управління лікувально-профілактичної </t>
  </si>
  <si>
    <t xml:space="preserve">допомоги </t>
  </si>
  <si>
    <t>Заступник директора – начальник                                 Дмитро КУЦОПАЛ</t>
  </si>
  <si>
    <t xml:space="preserve">управління економіки </t>
  </si>
  <si>
    <t xml:space="preserve">Заступник начальника </t>
  </si>
  <si>
    <t xml:space="preserve">                                                         </t>
  </si>
  <si>
    <t>управління економіки                                                     Леся ШМУЛЬКО</t>
  </si>
  <si>
    <t xml:space="preserve">Начальник відділу </t>
  </si>
  <si>
    <t xml:space="preserve">спеціального фонду та </t>
  </si>
  <si>
    <r>
      <t xml:space="preserve">цільових програм                                                             </t>
    </r>
    <r>
      <rPr>
        <sz val="14"/>
        <color theme="1"/>
        <rFont val="Times New Roman"/>
        <family val="1"/>
        <charset val="204"/>
      </rPr>
      <t>Ірина ТИЩЕНКО</t>
    </r>
  </si>
  <si>
    <t xml:space="preserve">Головний спеціаліст відділу </t>
  </si>
  <si>
    <t>Світлана СКОРИК</t>
  </si>
  <si>
    <t xml:space="preserve">цільових програм                        </t>
  </si>
  <si>
    <t>Інформація про виконання за 2019 рiк Міської цільової програми протидії епідемії  ВІЛ-інфекції на 2017-2021 роки</t>
  </si>
</sst>
</file>

<file path=xl/styles.xml><?xml version="1.0" encoding="utf-8"?>
<styleSheet xmlns="http://schemas.openxmlformats.org/spreadsheetml/2006/main">
  <numFmts count="11">
    <numFmt numFmtId="164" formatCode="_-* #,##0.00\ _₽_-;\-* #,##0.00\ _₽_-;_-* &quot;-&quot;??\ _₽_-;_-@_-"/>
    <numFmt numFmtId="165" formatCode="_-* #,##0.00\ _₴_-;\-* #,##0.00\ _₴_-;_-* &quot;-&quot;??\ _₴_-;_-@_-"/>
    <numFmt numFmtId="166" formatCode="#,##0.0"/>
    <numFmt numFmtId="167" formatCode="#,##0.000"/>
    <numFmt numFmtId="168" formatCode="0.000"/>
    <numFmt numFmtId="169" formatCode="0.0"/>
    <numFmt numFmtId="170" formatCode="\+0.00"/>
    <numFmt numFmtId="171" formatCode="\+0.0"/>
    <numFmt numFmtId="172" formatCode="\+0"/>
    <numFmt numFmtId="173" formatCode="#,##0.00\ _₽;[Red]#,##0.00\ _₽"/>
    <numFmt numFmtId="174" formatCode="#,##0.00;[Red]#,##0.00"/>
  </numFmts>
  <fonts count="81">
    <font>
      <sz val="11"/>
      <color theme="1"/>
      <name val="Calibri"/>
      <family val="2"/>
      <charset val="204"/>
      <scheme val="minor"/>
    </font>
    <font>
      <sz val="8"/>
      <name val="Calibri"/>
      <family val="2"/>
      <charset val="204"/>
    </font>
    <font>
      <sz val="12"/>
      <name val="Times New Roman"/>
      <family val="1"/>
      <charset val="204"/>
    </font>
    <font>
      <sz val="10"/>
      <name val="Times New Roman"/>
      <family val="1"/>
      <charset val="204"/>
    </font>
    <font>
      <b/>
      <sz val="12"/>
      <color indexed="62"/>
      <name val="Times New Roman"/>
      <family val="1"/>
      <charset val="204"/>
    </font>
    <font>
      <b/>
      <sz val="12"/>
      <name val="Times New Roman"/>
      <family val="1"/>
      <charset val="204"/>
    </font>
    <font>
      <sz val="10"/>
      <color indexed="62"/>
      <name val="Times New Roman"/>
      <family val="1"/>
      <charset val="204"/>
    </font>
    <font>
      <sz val="12"/>
      <color indexed="62"/>
      <name val="Times New Roman"/>
      <family val="1"/>
      <charset val="204"/>
    </font>
    <font>
      <sz val="12"/>
      <color indexed="8"/>
      <name val="Times New Roman"/>
      <family val="1"/>
      <charset val="204"/>
    </font>
    <font>
      <sz val="12"/>
      <color indexed="10"/>
      <name val="Times New Roman"/>
      <family val="1"/>
      <charset val="204"/>
    </font>
    <font>
      <b/>
      <sz val="12"/>
      <color indexed="8"/>
      <name val="Times New Roman"/>
      <family val="1"/>
      <charset val="204"/>
    </font>
    <font>
      <sz val="10"/>
      <color indexed="8"/>
      <name val="Times New Roman"/>
      <family val="1"/>
      <charset val="204"/>
    </font>
    <font>
      <sz val="10"/>
      <color indexed="10"/>
      <name val="Times New Roman"/>
      <family val="1"/>
      <charset val="204"/>
    </font>
    <font>
      <b/>
      <sz val="8"/>
      <name val="Times New Roman"/>
      <family val="1"/>
      <charset val="204"/>
    </font>
    <font>
      <sz val="8"/>
      <name val="Times New Roman"/>
      <family val="1"/>
      <charset val="204"/>
    </font>
    <font>
      <b/>
      <sz val="20"/>
      <name val="Times New Roman"/>
      <family val="1"/>
      <charset val="204"/>
    </font>
    <font>
      <sz val="20"/>
      <name val="Times New Roman"/>
      <family val="1"/>
      <charset val="204"/>
    </font>
    <font>
      <b/>
      <sz val="16"/>
      <name val="Times New Roman"/>
      <family val="1"/>
      <charset val="204"/>
    </font>
    <font>
      <sz val="16"/>
      <name val="Times New Roman"/>
      <family val="1"/>
      <charset val="204"/>
    </font>
    <font>
      <b/>
      <sz val="16"/>
      <color indexed="8"/>
      <name val="Calibri"/>
      <family val="2"/>
      <charset val="204"/>
    </font>
    <font>
      <sz val="16"/>
      <color indexed="8"/>
      <name val="Calibri"/>
      <family val="2"/>
      <charset val="204"/>
    </font>
    <font>
      <b/>
      <i/>
      <sz val="12"/>
      <color indexed="62"/>
      <name val="Times New Roman"/>
      <family val="1"/>
      <charset val="204"/>
    </font>
    <font>
      <b/>
      <i/>
      <sz val="12"/>
      <color indexed="8"/>
      <name val="Times New Roman"/>
      <family val="1"/>
      <charset val="204"/>
    </font>
    <font>
      <i/>
      <sz val="12"/>
      <color indexed="8"/>
      <name val="Times New Roman"/>
      <family val="1"/>
      <charset val="204"/>
    </font>
    <font>
      <b/>
      <i/>
      <sz val="12"/>
      <name val="Times New Roman"/>
      <family val="1"/>
      <charset val="204"/>
    </font>
    <font>
      <i/>
      <sz val="12"/>
      <name val="Times New Roman"/>
      <family val="1"/>
      <charset val="204"/>
    </font>
    <font>
      <sz val="9"/>
      <name val="Times New Roman"/>
      <family val="1"/>
      <charset val="204"/>
    </font>
    <font>
      <sz val="14"/>
      <color indexed="8"/>
      <name val="Times New Roman"/>
      <family val="1"/>
      <charset val="204"/>
    </font>
    <font>
      <sz val="11"/>
      <color indexed="8"/>
      <name val="Times New Roman"/>
      <family val="1"/>
      <charset val="204"/>
    </font>
    <font>
      <i/>
      <sz val="12"/>
      <color indexed="10"/>
      <name val="Times New Roman"/>
      <family val="1"/>
      <charset val="204"/>
    </font>
    <font>
      <sz val="11"/>
      <name val="Times New Roman"/>
      <family val="1"/>
      <charset val="204"/>
    </font>
    <font>
      <sz val="11"/>
      <color theme="1"/>
      <name val="Calibri"/>
      <family val="2"/>
      <charset val="204"/>
      <scheme val="minor"/>
    </font>
    <font>
      <sz val="11"/>
      <color theme="0"/>
      <name val="Calibri"/>
      <family val="2"/>
      <charset val="204"/>
      <scheme val="minor"/>
    </font>
    <font>
      <sz val="11"/>
      <color rgb="FF9C6500"/>
      <name val="Calibri"/>
      <family val="2"/>
      <charset val="204"/>
      <scheme val="minor"/>
    </font>
    <font>
      <b/>
      <sz val="12"/>
      <color theme="1"/>
      <name val="Times New Roman"/>
      <family val="1"/>
      <charset val="204"/>
    </font>
    <font>
      <sz val="12"/>
      <color theme="1"/>
      <name val="Times New Roman"/>
      <family val="1"/>
      <charset val="204"/>
    </font>
    <font>
      <sz val="12"/>
      <color rgb="FF000000"/>
      <name val="Times New Roman"/>
      <family val="1"/>
      <charset val="204"/>
    </font>
    <font>
      <sz val="14"/>
      <color theme="1"/>
      <name val="Times New Roman"/>
      <family val="1"/>
      <charset val="204"/>
    </font>
    <font>
      <b/>
      <i/>
      <sz val="12"/>
      <color theme="1"/>
      <name val="Times New Roman"/>
      <family val="1"/>
      <charset val="204"/>
    </font>
    <font>
      <sz val="14"/>
      <color rgb="FF000000"/>
      <name val="Times New Roman"/>
      <family val="1"/>
      <charset val="204"/>
    </font>
    <font>
      <i/>
      <sz val="11"/>
      <color theme="1"/>
      <name val="Calibri"/>
      <family val="2"/>
      <charset val="204"/>
      <scheme val="minor"/>
    </font>
    <font>
      <b/>
      <sz val="12"/>
      <color rgb="FFFF0000"/>
      <name val="Times New Roman"/>
      <family val="1"/>
      <charset val="204"/>
    </font>
    <font>
      <i/>
      <sz val="12"/>
      <color theme="1"/>
      <name val="Times New Roman"/>
      <family val="1"/>
      <charset val="204"/>
    </font>
    <font>
      <sz val="11"/>
      <color rgb="FF000000"/>
      <name val="Times New Roman"/>
      <family val="1"/>
      <charset val="204"/>
    </font>
    <font>
      <sz val="11"/>
      <color rgb="FFC00000"/>
      <name val="Calibri"/>
      <family val="2"/>
      <charset val="204"/>
      <scheme val="minor"/>
    </font>
    <font>
      <sz val="12"/>
      <color rgb="FFC00000"/>
      <name val="Times New Roman"/>
      <family val="1"/>
      <charset val="204"/>
    </font>
    <font>
      <b/>
      <i/>
      <sz val="12"/>
      <color rgb="FFC00000"/>
      <name val="Times New Roman"/>
      <family val="1"/>
      <charset val="204"/>
    </font>
    <font>
      <i/>
      <sz val="12"/>
      <color rgb="FFC00000"/>
      <name val="Times New Roman"/>
      <family val="1"/>
      <charset val="204"/>
    </font>
    <font>
      <i/>
      <sz val="11"/>
      <color rgb="FFC00000"/>
      <name val="Calibri"/>
      <family val="2"/>
      <charset val="204"/>
      <scheme val="minor"/>
    </font>
    <font>
      <sz val="14"/>
      <color rgb="FFC00000"/>
      <name val="Calibri"/>
      <family val="2"/>
      <charset val="204"/>
      <scheme val="minor"/>
    </font>
    <font>
      <sz val="14"/>
      <color theme="1"/>
      <name val="Calibri"/>
      <family val="2"/>
      <charset val="204"/>
      <scheme val="minor"/>
    </font>
    <font>
      <sz val="12"/>
      <color rgb="FF00B050"/>
      <name val="Times New Roman"/>
      <family val="1"/>
      <charset val="204"/>
    </font>
    <font>
      <b/>
      <sz val="12"/>
      <color rgb="FF000099"/>
      <name val="Times New Roman"/>
      <family val="1"/>
      <charset val="204"/>
    </font>
    <font>
      <sz val="12"/>
      <color rgb="FF000099"/>
      <name val="Times New Roman"/>
      <family val="1"/>
      <charset val="204"/>
    </font>
    <font>
      <sz val="11"/>
      <color rgb="FF000099"/>
      <name val="Times New Roman"/>
      <family val="1"/>
      <charset val="204"/>
    </font>
    <font>
      <sz val="11"/>
      <name val="Calibri"/>
      <family val="2"/>
      <charset val="204"/>
      <scheme val="minor"/>
    </font>
    <font>
      <i/>
      <sz val="11"/>
      <name val="Calibri"/>
      <family val="2"/>
      <charset val="204"/>
      <scheme val="minor"/>
    </font>
    <font>
      <sz val="12"/>
      <color rgb="FFFF0000"/>
      <name val="Times New Roman"/>
      <family val="1"/>
      <charset val="204"/>
    </font>
    <font>
      <b/>
      <i/>
      <sz val="12"/>
      <color rgb="FF0070C0"/>
      <name val="Times New Roman"/>
      <family val="1"/>
      <charset val="204"/>
    </font>
    <font>
      <sz val="12"/>
      <color rgb="FF002060"/>
      <name val="Times New Roman"/>
      <family val="1"/>
      <charset val="204"/>
    </font>
    <font>
      <sz val="14"/>
      <color rgb="FF002060"/>
      <name val="Calibri"/>
      <family val="2"/>
      <charset val="204"/>
      <scheme val="minor"/>
    </font>
    <font>
      <sz val="11"/>
      <color rgb="FF002060"/>
      <name val="Calibri"/>
      <family val="2"/>
      <charset val="204"/>
      <scheme val="minor"/>
    </font>
    <font>
      <b/>
      <sz val="12"/>
      <color rgb="FF002060"/>
      <name val="Times New Roman"/>
      <family val="1"/>
      <charset val="204"/>
    </font>
    <font>
      <sz val="12"/>
      <color rgb="FF0070C0"/>
      <name val="Times New Roman"/>
      <family val="1"/>
      <charset val="204"/>
    </font>
    <font>
      <sz val="9"/>
      <color rgb="FF000080"/>
      <name val="Times New Roman"/>
      <family val="1"/>
      <charset val="204"/>
    </font>
    <font>
      <sz val="10"/>
      <name val="Cambria"/>
      <family val="1"/>
      <charset val="204"/>
      <scheme val="major"/>
    </font>
    <font>
      <b/>
      <sz val="10"/>
      <name val="Cambria"/>
      <family val="1"/>
      <charset val="204"/>
      <scheme val="major"/>
    </font>
    <font>
      <b/>
      <sz val="10"/>
      <color rgb="FFFF0000"/>
      <name val="Cambria"/>
      <family val="1"/>
      <charset val="204"/>
      <scheme val="major"/>
    </font>
    <font>
      <sz val="9"/>
      <color rgb="FFFF0000"/>
      <name val="Cambria"/>
      <family val="1"/>
      <charset val="204"/>
      <scheme val="major"/>
    </font>
    <font>
      <sz val="10"/>
      <color rgb="FFFF0000"/>
      <name val="Cambria"/>
      <family val="1"/>
      <charset val="204"/>
      <scheme val="major"/>
    </font>
    <font>
      <sz val="10"/>
      <color indexed="8"/>
      <name val="Cambria"/>
      <family val="1"/>
      <charset val="204"/>
      <scheme val="major"/>
    </font>
    <font>
      <sz val="10"/>
      <color rgb="FF002060"/>
      <name val="Cambria"/>
      <family val="1"/>
      <charset val="204"/>
      <scheme val="major"/>
    </font>
    <font>
      <sz val="10"/>
      <color theme="1"/>
      <name val="Cambria"/>
      <family val="1"/>
      <charset val="204"/>
      <scheme val="major"/>
    </font>
    <font>
      <b/>
      <sz val="10"/>
      <color theme="1"/>
      <name val="Cambria"/>
      <family val="1"/>
      <charset val="204"/>
      <scheme val="major"/>
    </font>
    <font>
      <b/>
      <sz val="10"/>
      <name val="Times New Roman"/>
      <family val="1"/>
      <charset val="204"/>
    </font>
    <font>
      <sz val="10"/>
      <color rgb="FFFF0000"/>
      <name val="Times New Roman"/>
      <family val="1"/>
      <charset val="204"/>
    </font>
    <font>
      <sz val="10"/>
      <color theme="1"/>
      <name val="Times New Roman"/>
      <family val="1"/>
      <charset val="204"/>
    </font>
    <font>
      <sz val="9"/>
      <name val="Cambria"/>
      <family val="1"/>
      <charset val="204"/>
      <scheme val="major"/>
    </font>
    <font>
      <b/>
      <sz val="9"/>
      <name val="Cambria"/>
      <family val="1"/>
      <charset val="204"/>
      <scheme val="major"/>
    </font>
    <font>
      <b/>
      <sz val="10"/>
      <color rgb="FFFF0000"/>
      <name val="Times New Roman"/>
      <family val="1"/>
      <charset val="204"/>
    </font>
    <font>
      <sz val="14"/>
      <name val="Times New Roman"/>
      <family val="1"/>
      <charset val="204"/>
    </font>
  </fonts>
  <fills count="10">
    <fill>
      <patternFill patternType="none"/>
    </fill>
    <fill>
      <patternFill patternType="gray125"/>
    </fill>
    <fill>
      <patternFill patternType="solid">
        <fgColor indexed="9"/>
        <bgColor indexed="64"/>
      </patternFill>
    </fill>
    <fill>
      <patternFill patternType="solid">
        <fgColor rgb="FFFFEB9C"/>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0" tint="-4.9989318521683403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s>
  <cellStyleXfs count="5">
    <xf numFmtId="0" fontId="0" fillId="0" borderId="0"/>
    <xf numFmtId="0" fontId="33" fillId="3" borderId="0" applyNumberFormat="0" applyBorder="0" applyAlignment="0" applyProtection="0"/>
    <xf numFmtId="9" fontId="31" fillId="0" borderId="0" applyFont="0" applyFill="0" applyBorder="0" applyAlignment="0" applyProtection="0"/>
    <xf numFmtId="165" fontId="31" fillId="0" borderId="0" applyFont="0" applyFill="0" applyBorder="0" applyAlignment="0" applyProtection="0"/>
    <xf numFmtId="0" fontId="64" fillId="0" borderId="0">
      <alignment horizontal="right" vertical="top"/>
    </xf>
  </cellStyleXfs>
  <cellXfs count="1128">
    <xf numFmtId="0" fontId="0" fillId="0" borderId="0" xfId="0"/>
    <xf numFmtId="49" fontId="2" fillId="0" borderId="1" xfId="0" applyNumberFormat="1" applyFont="1" applyBorder="1" applyAlignment="1">
      <alignment horizontal="center" vertical="top" wrapText="1"/>
    </xf>
    <xf numFmtId="49" fontId="4" fillId="0" borderId="1" xfId="0" applyNumberFormat="1" applyFont="1" applyBorder="1" applyAlignment="1">
      <alignment horizontal="center" vertical="top" wrapText="1"/>
    </xf>
    <xf numFmtId="49" fontId="7" fillId="0" borderId="1" xfId="0" applyNumberFormat="1" applyFont="1" applyBorder="1" applyAlignment="1">
      <alignment horizontal="center" vertical="top" wrapText="1"/>
    </xf>
    <xf numFmtId="0" fontId="7" fillId="0" borderId="1" xfId="0" applyFont="1" applyBorder="1" applyAlignment="1">
      <alignment horizontal="center" vertical="top"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8" fillId="0" borderId="0" xfId="0" applyFont="1" applyAlignment="1">
      <alignment vertical="top" wrapText="1"/>
    </xf>
    <xf numFmtId="0" fontId="5" fillId="0" borderId="1" xfId="0" applyFont="1" applyBorder="1" applyAlignment="1">
      <alignment vertical="top" wrapText="1"/>
    </xf>
    <xf numFmtId="0" fontId="2" fillId="2" borderId="1" xfId="0" applyFont="1" applyFill="1" applyBorder="1" applyAlignment="1">
      <alignment horizontal="center" vertical="top" wrapText="1"/>
    </xf>
    <xf numFmtId="0" fontId="5" fillId="2" borderId="1" xfId="0" applyFont="1" applyFill="1" applyBorder="1" applyAlignment="1">
      <alignment vertical="top" wrapText="1"/>
    </xf>
    <xf numFmtId="0" fontId="7" fillId="2" borderId="1" xfId="0" applyFont="1" applyFill="1" applyBorder="1" applyAlignment="1">
      <alignment horizontal="center" vertical="top" wrapText="1"/>
    </xf>
    <xf numFmtId="0" fontId="2" fillId="0" borderId="0" xfId="0" applyFont="1" applyAlignment="1">
      <alignment vertical="top" wrapText="1"/>
    </xf>
    <xf numFmtId="0" fontId="3" fillId="0" borderId="1" xfId="0" applyFont="1" applyBorder="1" applyAlignment="1">
      <alignment horizontal="center" vertical="top" wrapText="1"/>
    </xf>
    <xf numFmtId="49" fontId="2" fillId="2" borderId="1" xfId="0" applyNumberFormat="1" applyFont="1" applyFill="1" applyBorder="1" applyAlignment="1">
      <alignment horizontal="center" vertical="top" wrapText="1"/>
    </xf>
    <xf numFmtId="49" fontId="5" fillId="2" borderId="1" xfId="0" applyNumberFormat="1" applyFont="1" applyFill="1" applyBorder="1" applyAlignment="1">
      <alignment horizontal="center" vertical="top" wrapText="1"/>
    </xf>
    <xf numFmtId="49" fontId="5" fillId="0" borderId="1" xfId="0" applyNumberFormat="1" applyFont="1" applyBorder="1" applyAlignment="1">
      <alignment horizontal="center" vertical="top" wrapText="1"/>
    </xf>
    <xf numFmtId="49" fontId="8" fillId="0" borderId="0" xfId="0" applyNumberFormat="1" applyFont="1" applyAlignment="1">
      <alignment horizontal="center" vertical="top" wrapText="1"/>
    </xf>
    <xf numFmtId="0" fontId="11" fillId="0" borderId="0" xfId="0" applyFont="1" applyAlignment="1">
      <alignment vertical="top" wrapText="1"/>
    </xf>
    <xf numFmtId="0" fontId="8" fillId="0" borderId="0" xfId="0" applyFont="1" applyAlignment="1">
      <alignment horizontal="justify" vertical="top" wrapText="1"/>
    </xf>
    <xf numFmtId="166" fontId="7" fillId="0" borderId="1" xfId="0" applyNumberFormat="1" applyFont="1" applyBorder="1" applyAlignment="1">
      <alignment horizontal="right" vertical="top" wrapText="1"/>
    </xf>
    <xf numFmtId="166" fontId="8" fillId="2" borderId="1" xfId="0" applyNumberFormat="1" applyFont="1" applyFill="1" applyBorder="1" applyAlignment="1">
      <alignment horizontal="right" vertical="top" wrapText="1"/>
    </xf>
    <xf numFmtId="166" fontId="2" fillId="2" borderId="1" xfId="0" applyNumberFormat="1" applyFont="1" applyFill="1" applyBorder="1" applyAlignment="1">
      <alignment horizontal="right" vertical="top" wrapText="1"/>
    </xf>
    <xf numFmtId="166" fontId="2" fillId="0" borderId="1" xfId="0" applyNumberFormat="1" applyFont="1" applyBorder="1" applyAlignment="1">
      <alignment horizontal="right" vertical="top" wrapText="1"/>
    </xf>
    <xf numFmtId="166" fontId="8" fillId="0" borderId="1" xfId="0" applyNumberFormat="1" applyFont="1" applyBorder="1" applyAlignment="1">
      <alignment horizontal="right" vertical="top" wrapText="1"/>
    </xf>
    <xf numFmtId="0" fontId="8" fillId="0" borderId="0" xfId="0" applyFont="1" applyAlignment="1">
      <alignment horizontal="center" vertical="top" wrapText="1"/>
    </xf>
    <xf numFmtId="0" fontId="8" fillId="0" borderId="1" xfId="0" applyFont="1" applyBorder="1" applyAlignment="1">
      <alignment horizontal="center" vertical="top" wrapText="1"/>
    </xf>
    <xf numFmtId="166" fontId="4" fillId="0" borderId="1" xfId="0" applyNumberFormat="1" applyFont="1" applyBorder="1" applyAlignment="1">
      <alignment horizontal="right" vertical="top" wrapText="1"/>
    </xf>
    <xf numFmtId="49" fontId="6" fillId="0" borderId="1" xfId="0" applyNumberFormat="1" applyFont="1" applyBorder="1" applyAlignment="1">
      <alignment horizontal="center" vertical="top" wrapText="1"/>
    </xf>
    <xf numFmtId="0" fontId="3" fillId="0" borderId="1" xfId="0" applyFont="1" applyBorder="1" applyAlignment="1">
      <alignment vertical="top" wrapText="1"/>
    </xf>
    <xf numFmtId="0" fontId="11" fillId="0" borderId="1" xfId="0" applyFont="1" applyBorder="1" applyAlignment="1">
      <alignment horizontal="center" vertical="top" wrapText="1"/>
    </xf>
    <xf numFmtId="166" fontId="11" fillId="2" borderId="1" xfId="0" applyNumberFormat="1" applyFont="1" applyFill="1" applyBorder="1" applyAlignment="1">
      <alignment horizontal="right" vertical="top" wrapText="1"/>
    </xf>
    <xf numFmtId="166" fontId="3" fillId="2" borderId="1" xfId="0" applyNumberFormat="1" applyFont="1" applyFill="1" applyBorder="1" applyAlignment="1">
      <alignment horizontal="right" vertical="top" wrapText="1"/>
    </xf>
    <xf numFmtId="166" fontId="3" fillId="0" borderId="1" xfId="0" applyNumberFormat="1" applyFont="1" applyBorder="1" applyAlignment="1">
      <alignment horizontal="right" vertical="top" wrapText="1"/>
    </xf>
    <xf numFmtId="49" fontId="11" fillId="0" borderId="1" xfId="0" applyNumberFormat="1" applyFont="1" applyBorder="1" applyAlignment="1">
      <alignment horizontal="center" vertical="top" wrapText="1"/>
    </xf>
    <xf numFmtId="166" fontId="11" fillId="0" borderId="1" xfId="0" applyNumberFormat="1" applyFont="1" applyBorder="1" applyAlignment="1">
      <alignment horizontal="right" vertical="top" wrapText="1"/>
    </xf>
    <xf numFmtId="0" fontId="4" fillId="0" borderId="1" xfId="0" applyFont="1" applyBorder="1" applyAlignment="1">
      <alignment horizontal="left" vertical="top" wrapText="1"/>
    </xf>
    <xf numFmtId="0" fontId="7" fillId="0" borderId="0" xfId="0" applyFont="1" applyAlignment="1">
      <alignment vertical="top" wrapText="1"/>
    </xf>
    <xf numFmtId="0" fontId="7" fillId="0" borderId="1" xfId="0" applyFont="1" applyBorder="1" applyAlignment="1">
      <alignment vertical="top" wrapText="1"/>
    </xf>
    <xf numFmtId="166" fontId="7" fillId="2" borderId="1" xfId="0" applyNumberFormat="1" applyFont="1" applyFill="1" applyBorder="1" applyAlignment="1">
      <alignment horizontal="right" vertical="top" wrapText="1"/>
    </xf>
    <xf numFmtId="49" fontId="7" fillId="2" borderId="1" xfId="0" applyNumberFormat="1" applyFont="1" applyFill="1" applyBorder="1" applyAlignment="1">
      <alignment horizontal="center" vertical="top" wrapText="1"/>
    </xf>
    <xf numFmtId="0" fontId="7" fillId="2" borderId="1" xfId="0" applyFont="1" applyFill="1" applyBorder="1" applyAlignment="1">
      <alignment vertical="top" wrapText="1"/>
    </xf>
    <xf numFmtId="166" fontId="5" fillId="0" borderId="1" xfId="0" applyNumberFormat="1" applyFont="1" applyBorder="1" applyAlignment="1">
      <alignment horizontal="right" vertical="top" wrapText="1"/>
    </xf>
    <xf numFmtId="0" fontId="11" fillId="0" borderId="1" xfId="0" applyFont="1" applyBorder="1" applyAlignment="1">
      <alignment vertical="top" wrapText="1"/>
    </xf>
    <xf numFmtId="166" fontId="11" fillId="0" borderId="1" xfId="0" applyNumberFormat="1" applyFont="1" applyFill="1" applyBorder="1" applyAlignment="1">
      <alignment horizontal="right" vertical="top" wrapText="1"/>
    </xf>
    <xf numFmtId="166" fontId="3" fillId="0" borderId="1" xfId="0" applyNumberFormat="1" applyFont="1" applyFill="1" applyBorder="1" applyAlignment="1">
      <alignment horizontal="right" vertical="top" wrapText="1"/>
    </xf>
    <xf numFmtId="49" fontId="3" fillId="2" borderId="1" xfId="0" applyNumberFormat="1" applyFont="1" applyFill="1" applyBorder="1" applyAlignment="1">
      <alignment horizontal="center" vertical="top" wrapText="1"/>
    </xf>
    <xf numFmtId="0" fontId="3" fillId="2" borderId="1" xfId="0" applyFont="1" applyFill="1" applyBorder="1" applyAlignment="1">
      <alignment vertical="top" wrapText="1"/>
    </xf>
    <xf numFmtId="0" fontId="3" fillId="2" borderId="1" xfId="0" applyFont="1" applyFill="1" applyBorder="1" applyAlignment="1">
      <alignment horizontal="center" vertical="top" wrapText="1"/>
    </xf>
    <xf numFmtId="49" fontId="3" fillId="0" borderId="1" xfId="0" applyNumberFormat="1" applyFont="1" applyBorder="1" applyAlignment="1">
      <alignment horizontal="center" vertical="top" wrapText="1"/>
    </xf>
    <xf numFmtId="49" fontId="11" fillId="2" borderId="1" xfId="0" applyNumberFormat="1" applyFont="1" applyFill="1" applyBorder="1" applyAlignment="1">
      <alignment horizontal="center" vertical="top" wrapText="1"/>
    </xf>
    <xf numFmtId="0" fontId="11" fillId="2" borderId="1" xfId="0" applyFont="1" applyFill="1" applyBorder="1" applyAlignment="1">
      <alignment vertical="top" wrapText="1"/>
    </xf>
    <xf numFmtId="0" fontId="3" fillId="0" borderId="0" xfId="0" applyFont="1" applyAlignment="1">
      <alignment vertical="top" wrapText="1"/>
    </xf>
    <xf numFmtId="0" fontId="5" fillId="0" borderId="1" xfId="0" applyFont="1" applyBorder="1" applyAlignment="1">
      <alignment horizontal="center" vertical="top" wrapText="1"/>
    </xf>
    <xf numFmtId="0" fontId="10" fillId="0" borderId="0" xfId="0" applyFont="1" applyAlignment="1">
      <alignment vertical="top" wrapText="1"/>
    </xf>
    <xf numFmtId="0" fontId="7" fillId="0" borderId="1" xfId="0" applyFont="1" applyFill="1" applyBorder="1" applyAlignment="1">
      <alignment horizontal="center" vertical="top" wrapText="1"/>
    </xf>
    <xf numFmtId="166" fontId="7" fillId="0" borderId="1" xfId="0" applyNumberFormat="1" applyFont="1" applyFill="1" applyBorder="1" applyAlignment="1">
      <alignment horizontal="right" vertical="top" wrapText="1"/>
    </xf>
    <xf numFmtId="166" fontId="2" fillId="0" borderId="1" xfId="0" applyNumberFormat="1" applyFont="1" applyFill="1" applyBorder="1" applyAlignment="1">
      <alignment horizontal="right" vertical="top" wrapText="1"/>
    </xf>
    <xf numFmtId="166" fontId="12" fillId="2" borderId="1" xfId="0" applyNumberFormat="1" applyFont="1" applyFill="1" applyBorder="1" applyAlignment="1">
      <alignment horizontal="right" vertical="top" wrapText="1"/>
    </xf>
    <xf numFmtId="166" fontId="9" fillId="0" borderId="1" xfId="0" applyNumberFormat="1" applyFont="1" applyBorder="1" applyAlignment="1">
      <alignment horizontal="right" vertical="top" wrapText="1"/>
    </xf>
    <xf numFmtId="166" fontId="9" fillId="2" borderId="1" xfId="0" applyNumberFormat="1" applyFont="1" applyFill="1" applyBorder="1" applyAlignment="1">
      <alignment horizontal="right" vertical="top" wrapText="1"/>
    </xf>
    <xf numFmtId="4" fontId="8" fillId="0" borderId="0" xfId="0" applyNumberFormat="1" applyFont="1" applyAlignment="1">
      <alignment horizontal="right" vertical="top" wrapText="1"/>
    </xf>
    <xf numFmtId="0" fontId="5" fillId="0" borderId="0" xfId="0" applyFont="1" applyFill="1" applyAlignment="1">
      <alignment horizontal="left" vertical="center"/>
    </xf>
    <xf numFmtId="0" fontId="5" fillId="0" borderId="0" xfId="0" applyFont="1" applyFill="1" applyAlignment="1">
      <alignment horizontal="left"/>
    </xf>
    <xf numFmtId="0" fontId="5" fillId="0" borderId="0" xfId="0" applyFont="1" applyFill="1"/>
    <xf numFmtId="0" fontId="2" fillId="0" borderId="0" xfId="0" applyFont="1" applyFill="1" applyAlignment="1">
      <alignment horizontal="center" vertical="center"/>
    </xf>
    <xf numFmtId="0" fontId="2" fillId="0" borderId="0" xfId="0" applyFont="1" applyFill="1" applyAlignment="1">
      <alignment horizontal="left"/>
    </xf>
    <xf numFmtId="0" fontId="2" fillId="0" borderId="0" xfId="0" applyFont="1" applyFill="1"/>
    <xf numFmtId="0" fontId="2" fillId="0" borderId="1" xfId="0" applyFont="1" applyFill="1" applyBorder="1" applyAlignment="1">
      <alignment horizontal="center" vertical="center" wrapText="1"/>
    </xf>
    <xf numFmtId="0" fontId="5" fillId="0" borderId="0" xfId="0" applyFont="1" applyFill="1" applyAlignment="1">
      <alignment horizontal="center" vertical="center"/>
    </xf>
    <xf numFmtId="166" fontId="5" fillId="0" borderId="1" xfId="0" applyNumberFormat="1" applyFont="1" applyFill="1" applyBorder="1" applyAlignment="1">
      <alignment horizontal="right" vertical="top"/>
    </xf>
    <xf numFmtId="0" fontId="15" fillId="0" borderId="0" xfId="0" applyFont="1" applyFill="1" applyBorder="1" applyAlignment="1">
      <alignment horizontal="center" vertical="top"/>
    </xf>
    <xf numFmtId="0" fontId="15" fillId="0" borderId="0" xfId="0" applyFont="1" applyFill="1" applyBorder="1" applyAlignment="1">
      <alignment vertical="top"/>
    </xf>
    <xf numFmtId="0" fontId="16" fillId="0" borderId="0" xfId="0" applyFont="1" applyFill="1" applyAlignment="1">
      <alignment vertical="top"/>
    </xf>
    <xf numFmtId="0" fontId="17" fillId="0" borderId="0" xfId="0" applyFont="1" applyFill="1" applyBorder="1" applyAlignment="1">
      <alignment horizontal="center" vertical="top"/>
    </xf>
    <xf numFmtId="0" fontId="18" fillId="0" borderId="0" xfId="0" applyFont="1" applyFill="1" applyBorder="1" applyAlignment="1">
      <alignment horizontal="left" vertical="top"/>
    </xf>
    <xf numFmtId="0" fontId="18" fillId="0" borderId="0" xfId="0" applyFont="1" applyFill="1" applyBorder="1" applyAlignment="1">
      <alignment vertical="top"/>
    </xf>
    <xf numFmtId="0" fontId="18" fillId="0" borderId="0" xfId="0" applyFont="1" applyFill="1" applyAlignment="1">
      <alignment vertical="top"/>
    </xf>
    <xf numFmtId="0" fontId="15" fillId="0" borderId="0" xfId="0" applyFont="1" applyFill="1" applyBorder="1" applyAlignment="1">
      <alignment horizontal="left" vertical="top"/>
    </xf>
    <xf numFmtId="0" fontId="16" fillId="0" borderId="0" xfId="0" applyFont="1" applyFill="1" applyBorder="1" applyAlignment="1">
      <alignment vertical="top"/>
    </xf>
    <xf numFmtId="0" fontId="19" fillId="0" borderId="0" xfId="0" applyFont="1"/>
    <xf numFmtId="0" fontId="20" fillId="0" borderId="0" xfId="0" applyFont="1"/>
    <xf numFmtId="4" fontId="2" fillId="0" borderId="1" xfId="0" applyNumberFormat="1" applyFont="1" applyBorder="1" applyAlignment="1">
      <alignment horizontal="right" vertical="top" wrapText="1"/>
    </xf>
    <xf numFmtId="4" fontId="2" fillId="0" borderId="1" xfId="0" applyNumberFormat="1" applyFont="1" applyBorder="1" applyAlignment="1">
      <alignment horizontal="center" vertical="top" wrapText="1"/>
    </xf>
    <xf numFmtId="4" fontId="4" fillId="0" borderId="1" xfId="0" applyNumberFormat="1" applyFont="1" applyBorder="1" applyAlignment="1">
      <alignment horizontal="right" vertical="top" wrapText="1"/>
    </xf>
    <xf numFmtId="4" fontId="7" fillId="0" borderId="1" xfId="0" applyNumberFormat="1" applyFont="1" applyBorder="1" applyAlignment="1">
      <alignment horizontal="right" vertical="top" wrapText="1"/>
    </xf>
    <xf numFmtId="4" fontId="3" fillId="0" borderId="1" xfId="0" applyNumberFormat="1" applyFont="1" applyBorder="1" applyAlignment="1">
      <alignment horizontal="right" vertical="top" wrapText="1"/>
    </xf>
    <xf numFmtId="4" fontId="3" fillId="2" borderId="1" xfId="0" applyNumberFormat="1" applyFont="1" applyFill="1" applyBorder="1" applyAlignment="1">
      <alignment horizontal="right" vertical="top" wrapText="1"/>
    </xf>
    <xf numFmtId="4" fontId="11" fillId="0" borderId="1" xfId="0" applyNumberFormat="1" applyFont="1" applyBorder="1" applyAlignment="1">
      <alignment horizontal="right" vertical="top" wrapText="1"/>
    </xf>
    <xf numFmtId="4" fontId="7" fillId="2" borderId="1" xfId="0" applyNumberFormat="1" applyFont="1" applyFill="1" applyBorder="1" applyAlignment="1">
      <alignment horizontal="right" vertical="top" wrapText="1"/>
    </xf>
    <xf numFmtId="4" fontId="11" fillId="0" borderId="1" xfId="0" applyNumberFormat="1" applyFont="1" applyFill="1" applyBorder="1" applyAlignment="1">
      <alignment horizontal="right" vertical="top" wrapText="1"/>
    </xf>
    <xf numFmtId="4" fontId="2" fillId="2" borderId="1" xfId="0" applyNumberFormat="1" applyFont="1" applyFill="1" applyBorder="1" applyAlignment="1">
      <alignment horizontal="right" vertical="top" wrapText="1"/>
    </xf>
    <xf numFmtId="4" fontId="8" fillId="0" borderId="1" xfId="0" applyNumberFormat="1" applyFont="1" applyBorder="1" applyAlignment="1">
      <alignment horizontal="right" vertical="top" wrapText="1"/>
    </xf>
    <xf numFmtId="4" fontId="3" fillId="0" borderId="1" xfId="0" applyNumberFormat="1" applyFont="1" applyFill="1" applyBorder="1" applyAlignment="1">
      <alignment horizontal="right" vertical="top" wrapText="1"/>
    </xf>
    <xf numFmtId="4" fontId="7" fillId="0" borderId="1" xfId="0" applyNumberFormat="1" applyFont="1" applyFill="1" applyBorder="1" applyAlignment="1">
      <alignment horizontal="right" vertical="top" wrapText="1"/>
    </xf>
    <xf numFmtId="4" fontId="2" fillId="0" borderId="1" xfId="0" applyNumberFormat="1" applyFont="1" applyFill="1" applyBorder="1" applyAlignment="1">
      <alignment horizontal="right" vertical="top" wrapText="1"/>
    </xf>
    <xf numFmtId="4" fontId="8" fillId="2" borderId="1" xfId="0" applyNumberFormat="1" applyFont="1" applyFill="1" applyBorder="1" applyAlignment="1">
      <alignment horizontal="right" vertical="top" wrapText="1"/>
    </xf>
    <xf numFmtId="4" fontId="5" fillId="0" borderId="1" xfId="0" applyNumberFormat="1" applyFont="1" applyBorder="1" applyAlignment="1">
      <alignment horizontal="right" vertical="top" wrapText="1"/>
    </xf>
    <xf numFmtId="4" fontId="9" fillId="0" borderId="0" xfId="0" applyNumberFormat="1" applyFont="1" applyAlignment="1">
      <alignment horizontal="right" vertical="top" wrapText="1"/>
    </xf>
    <xf numFmtId="4" fontId="13" fillId="0" borderId="0" xfId="0" applyNumberFormat="1" applyFont="1" applyFill="1"/>
    <xf numFmtId="4" fontId="5" fillId="0" borderId="0" xfId="0" applyNumberFormat="1" applyFont="1" applyFill="1"/>
    <xf numFmtId="4" fontId="5" fillId="0" borderId="0" xfId="0" applyNumberFormat="1" applyFont="1" applyFill="1" applyAlignment="1">
      <alignment horizontal="right"/>
    </xf>
    <xf numFmtId="4" fontId="14" fillId="0" borderId="0" xfId="0" applyNumberFormat="1" applyFont="1" applyFill="1"/>
    <xf numFmtId="4" fontId="2" fillId="0" borderId="0" xfId="0" applyNumberFormat="1" applyFont="1" applyFill="1"/>
    <xf numFmtId="4" fontId="2" fillId="0" borderId="0" xfId="0" applyNumberFormat="1" applyFont="1" applyFill="1" applyAlignment="1">
      <alignment horizontal="right"/>
    </xf>
    <xf numFmtId="4" fontId="2"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right" vertical="top"/>
    </xf>
    <xf numFmtId="4" fontId="5"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center" vertical="top" wrapText="1"/>
    </xf>
    <xf numFmtId="4" fontId="4" fillId="0" borderId="1" xfId="0" applyNumberFormat="1" applyFont="1" applyFill="1" applyBorder="1" applyAlignment="1">
      <alignment horizontal="right" vertical="top" wrapText="1"/>
    </xf>
    <xf numFmtId="4" fontId="8" fillId="0" borderId="1" xfId="0" applyNumberFormat="1" applyFont="1" applyFill="1" applyBorder="1" applyAlignment="1">
      <alignment horizontal="right" vertical="top" wrapText="1"/>
    </xf>
    <xf numFmtId="4" fontId="5" fillId="0" borderId="1" xfId="0" applyNumberFormat="1" applyFont="1" applyFill="1" applyBorder="1" applyAlignment="1">
      <alignment horizontal="right" vertical="top" wrapText="1"/>
    </xf>
    <xf numFmtId="4" fontId="8" fillId="0" borderId="0" xfId="0" applyNumberFormat="1" applyFont="1" applyFill="1" applyAlignment="1">
      <alignment horizontal="right" vertical="top" wrapText="1"/>
    </xf>
    <xf numFmtId="0" fontId="5" fillId="4" borderId="2" xfId="0" applyFont="1" applyFill="1" applyBorder="1" applyAlignment="1">
      <alignment horizontal="left" vertical="top" wrapText="1"/>
    </xf>
    <xf numFmtId="3" fontId="8" fillId="4" borderId="1" xfId="0" applyNumberFormat="1" applyFont="1" applyFill="1" applyBorder="1" applyAlignment="1">
      <alignment horizontal="center" vertical="top"/>
    </xf>
    <xf numFmtId="0" fontId="8" fillId="4" borderId="1" xfId="0" applyFont="1" applyFill="1" applyBorder="1" applyAlignment="1">
      <alignment vertical="top"/>
    </xf>
    <xf numFmtId="0" fontId="8" fillId="4" borderId="1" xfId="0" applyFont="1" applyFill="1" applyBorder="1" applyAlignment="1">
      <alignment horizontal="center" vertical="top"/>
    </xf>
    <xf numFmtId="0" fontId="2" fillId="4" borderId="1" xfId="0" applyFont="1" applyFill="1" applyBorder="1" applyAlignment="1">
      <alignment horizontal="center" vertical="top"/>
    </xf>
    <xf numFmtId="3" fontId="8" fillId="4" borderId="1" xfId="0" applyNumberFormat="1" applyFont="1" applyFill="1" applyBorder="1" applyAlignment="1">
      <alignment horizontal="center" vertical="center"/>
    </xf>
    <xf numFmtId="0" fontId="2" fillId="4" borderId="3" xfId="0" applyFont="1" applyFill="1" applyBorder="1" applyAlignment="1">
      <alignment horizontal="center" vertical="top"/>
    </xf>
    <xf numFmtId="0" fontId="2" fillId="4" borderId="1" xfId="0" applyFont="1" applyFill="1" applyBorder="1" applyAlignment="1">
      <alignment horizontal="center" vertical="center"/>
    </xf>
    <xf numFmtId="3" fontId="2" fillId="4" borderId="1" xfId="0" applyNumberFormat="1" applyFont="1" applyFill="1" applyBorder="1" applyAlignment="1">
      <alignment horizontal="center" vertical="center"/>
    </xf>
    <xf numFmtId="0" fontId="8" fillId="4" borderId="1" xfId="0" applyFont="1" applyFill="1" applyBorder="1" applyAlignment="1">
      <alignment vertical="top" wrapText="1"/>
    </xf>
    <xf numFmtId="0" fontId="5" fillId="4" borderId="2" xfId="0" applyFont="1" applyFill="1" applyBorder="1" applyAlignment="1">
      <alignment horizontal="left" vertical="top" wrapText="1"/>
    </xf>
    <xf numFmtId="0" fontId="0" fillId="4" borderId="0" xfId="0" applyFill="1"/>
    <xf numFmtId="0" fontId="8" fillId="4" borderId="0" xfId="0" applyFont="1" applyFill="1" applyAlignment="1">
      <alignment vertical="top"/>
    </xf>
    <xf numFmtId="0" fontId="5" fillId="4" borderId="0" xfId="0" applyFont="1" applyFill="1" applyAlignment="1">
      <alignment vertical="top" wrapText="1"/>
    </xf>
    <xf numFmtId="0" fontId="5" fillId="4" borderId="1" xfId="0" applyFont="1" applyFill="1" applyBorder="1" applyAlignment="1">
      <alignment horizontal="center" vertical="top" wrapText="1"/>
    </xf>
    <xf numFmtId="49" fontId="5" fillId="4" borderId="1" xfId="0" applyNumberFormat="1" applyFont="1" applyFill="1" applyBorder="1" applyAlignment="1">
      <alignment horizontal="center" vertical="top" wrapText="1"/>
    </xf>
    <xf numFmtId="3" fontId="5" fillId="4" borderId="1" xfId="0" applyNumberFormat="1" applyFont="1" applyFill="1" applyBorder="1" applyAlignment="1">
      <alignment horizontal="center" vertical="top" wrapText="1"/>
    </xf>
    <xf numFmtId="49" fontId="4" fillId="4" borderId="3" xfId="0" applyNumberFormat="1" applyFont="1" applyFill="1" applyBorder="1" applyAlignment="1">
      <alignment horizontal="center" vertical="top" wrapText="1"/>
    </xf>
    <xf numFmtId="49" fontId="21" fillId="4" borderId="1" xfId="0" applyNumberFormat="1" applyFont="1" applyFill="1" applyBorder="1" applyAlignment="1">
      <alignment horizontal="center" vertical="top" wrapText="1"/>
    </xf>
    <xf numFmtId="49" fontId="7" fillId="4" borderId="4" xfId="0" applyNumberFormat="1" applyFont="1" applyFill="1" applyBorder="1" applyAlignment="1">
      <alignment horizontal="center" vertical="top" wrapText="1"/>
    </xf>
    <xf numFmtId="167" fontId="8" fillId="4" borderId="1" xfId="0" applyNumberFormat="1" applyFont="1" applyFill="1" applyBorder="1" applyAlignment="1">
      <alignment horizontal="center" vertical="top"/>
    </xf>
    <xf numFmtId="0" fontId="10" fillId="4" borderId="2" xfId="0" applyFont="1" applyFill="1" applyBorder="1" applyAlignment="1">
      <alignment horizontal="left" vertical="top" wrapText="1"/>
    </xf>
    <xf numFmtId="168" fontId="8" fillId="4" borderId="1" xfId="0" applyNumberFormat="1" applyFont="1" applyFill="1" applyBorder="1" applyAlignment="1">
      <alignment horizontal="center" vertical="top" wrapText="1"/>
    </xf>
    <xf numFmtId="1" fontId="8" fillId="4" borderId="1" xfId="0" applyNumberFormat="1" applyFont="1" applyFill="1" applyBorder="1" applyAlignment="1">
      <alignment horizontal="center" vertical="top"/>
    </xf>
    <xf numFmtId="49" fontId="22" fillId="4" borderId="4" xfId="0" applyNumberFormat="1" applyFont="1" applyFill="1" applyBorder="1" applyAlignment="1">
      <alignment horizontal="center" vertical="top"/>
    </xf>
    <xf numFmtId="49" fontId="8" fillId="4" borderId="4" xfId="0" applyNumberFormat="1" applyFont="1" applyFill="1" applyBorder="1" applyAlignment="1">
      <alignment horizontal="center" vertical="top"/>
    </xf>
    <xf numFmtId="168" fontId="8" fillId="4" borderId="1" xfId="0" applyNumberFormat="1" applyFont="1" applyFill="1" applyBorder="1" applyAlignment="1">
      <alignment horizontal="center" vertical="top"/>
    </xf>
    <xf numFmtId="169" fontId="8" fillId="4" borderId="1" xfId="0" applyNumberFormat="1" applyFont="1" applyFill="1" applyBorder="1" applyAlignment="1">
      <alignment horizontal="center" vertical="top" wrapText="1"/>
    </xf>
    <xf numFmtId="169" fontId="8" fillId="4" borderId="1" xfId="0" applyNumberFormat="1" applyFont="1" applyFill="1" applyBorder="1" applyAlignment="1">
      <alignment horizontal="center" vertical="top"/>
    </xf>
    <xf numFmtId="167" fontId="2" fillId="4" borderId="1" xfId="0" applyNumberFormat="1" applyFont="1" applyFill="1" applyBorder="1" applyAlignment="1">
      <alignment horizontal="center" vertical="top"/>
    </xf>
    <xf numFmtId="3" fontId="2" fillId="4" borderId="1" xfId="0" applyNumberFormat="1" applyFont="1" applyFill="1" applyBorder="1" applyAlignment="1">
      <alignment horizontal="center" vertical="top"/>
    </xf>
    <xf numFmtId="49" fontId="8" fillId="4" borderId="5" xfId="0" applyNumberFormat="1" applyFont="1" applyFill="1" applyBorder="1" applyAlignment="1">
      <alignment horizontal="center" vertical="top"/>
    </xf>
    <xf numFmtId="2" fontId="8" fillId="4" borderId="1" xfId="0" applyNumberFormat="1" applyFont="1" applyFill="1" applyBorder="1" applyAlignment="1">
      <alignment horizontal="center" vertical="top"/>
    </xf>
    <xf numFmtId="0" fontId="5" fillId="4" borderId="1" xfId="0" applyFont="1" applyFill="1" applyBorder="1" applyAlignment="1">
      <alignment horizontal="left" vertical="top" wrapText="1"/>
    </xf>
    <xf numFmtId="169" fontId="2" fillId="4" borderId="1" xfId="0" applyNumberFormat="1" applyFont="1" applyFill="1" applyBorder="1" applyAlignment="1">
      <alignment horizontal="center" vertical="top" wrapText="1"/>
    </xf>
    <xf numFmtId="169" fontId="2" fillId="4" borderId="1" xfId="0" applyNumberFormat="1" applyFont="1" applyFill="1" applyBorder="1" applyAlignment="1">
      <alignment horizontal="center" vertical="top"/>
    </xf>
    <xf numFmtId="0" fontId="22" fillId="4" borderId="0" xfId="0" applyFont="1" applyFill="1" applyAlignment="1">
      <alignment vertical="top"/>
    </xf>
    <xf numFmtId="49" fontId="8" fillId="4" borderId="6" xfId="0" applyNumberFormat="1" applyFont="1" applyFill="1" applyBorder="1" applyAlignment="1">
      <alignment horizontal="center" vertical="top"/>
    </xf>
    <xf numFmtId="0" fontId="34" fillId="4" borderId="1" xfId="0" applyFont="1" applyFill="1" applyBorder="1" applyAlignment="1">
      <alignment vertical="center" wrapText="1"/>
    </xf>
    <xf numFmtId="0" fontId="35" fillId="4" borderId="1" xfId="0" applyFont="1" applyFill="1" applyBorder="1" applyAlignment="1">
      <alignment horizontal="center" vertical="top" wrapText="1"/>
    </xf>
    <xf numFmtId="0" fontId="35" fillId="4" borderId="1" xfId="0" applyFont="1" applyFill="1" applyBorder="1" applyAlignment="1">
      <alignment horizontal="center" vertical="top"/>
    </xf>
    <xf numFmtId="169" fontId="8" fillId="4" borderId="7" xfId="0" applyNumberFormat="1" applyFont="1" applyFill="1" applyBorder="1" applyAlignment="1">
      <alignment horizontal="center" vertical="top"/>
    </xf>
    <xf numFmtId="0" fontId="36" fillId="4" borderId="1" xfId="0" applyFont="1" applyFill="1" applyBorder="1" applyAlignment="1">
      <alignment horizontal="center" vertical="top" wrapText="1"/>
    </xf>
    <xf numFmtId="2" fontId="35" fillId="4" borderId="1" xfId="0" applyNumberFormat="1" applyFont="1" applyFill="1" applyBorder="1" applyAlignment="1">
      <alignment horizontal="center" vertical="top"/>
    </xf>
    <xf numFmtId="1" fontId="35" fillId="4" borderId="1" xfId="0" applyNumberFormat="1" applyFont="1" applyFill="1" applyBorder="1" applyAlignment="1">
      <alignment horizontal="center" vertical="top"/>
    </xf>
    <xf numFmtId="49" fontId="22" fillId="4" borderId="3" xfId="0" applyNumberFormat="1" applyFont="1" applyFill="1" applyBorder="1" applyAlignment="1">
      <alignment horizontal="center" vertical="top"/>
    </xf>
    <xf numFmtId="49" fontId="8" fillId="4" borderId="3" xfId="0" applyNumberFormat="1" applyFont="1" applyFill="1" applyBorder="1" applyAlignment="1">
      <alignment horizontal="center" vertical="top"/>
    </xf>
    <xf numFmtId="166" fontId="2" fillId="4" borderId="1" xfId="0" applyNumberFormat="1" applyFont="1" applyFill="1" applyBorder="1" applyAlignment="1">
      <alignment horizontal="center" vertical="top" wrapText="1"/>
    </xf>
    <xf numFmtId="166" fontId="2" fillId="4" borderId="1" xfId="0" applyNumberFormat="1" applyFont="1" applyFill="1" applyBorder="1" applyAlignment="1">
      <alignment horizontal="center" vertical="top"/>
    </xf>
    <xf numFmtId="49" fontId="8" fillId="4" borderId="8" xfId="0" applyNumberFormat="1" applyFont="1" applyFill="1" applyBorder="1" applyAlignment="1">
      <alignment horizontal="center" vertical="top"/>
    </xf>
    <xf numFmtId="0" fontId="35" fillId="4" borderId="1" xfId="0" applyFont="1" applyFill="1" applyBorder="1" applyAlignment="1">
      <alignment horizontal="center" vertical="center" wrapText="1"/>
    </xf>
    <xf numFmtId="166" fontId="2" fillId="4" borderId="2" xfId="0" applyNumberFormat="1" applyFont="1" applyFill="1" applyBorder="1" applyAlignment="1">
      <alignment horizontal="center" vertical="center"/>
    </xf>
    <xf numFmtId="1" fontId="8" fillId="4" borderId="1" xfId="0" applyNumberFormat="1" applyFont="1" applyFill="1" applyBorder="1" applyAlignment="1">
      <alignment horizontal="center" vertical="center"/>
    </xf>
    <xf numFmtId="166" fontId="2" fillId="4" borderId="2" xfId="0" applyNumberFormat="1" applyFont="1" applyFill="1" applyBorder="1" applyAlignment="1">
      <alignment horizontal="center" vertical="top"/>
    </xf>
    <xf numFmtId="0" fontId="37" fillId="4" borderId="1" xfId="0" applyFont="1" applyFill="1" applyBorder="1" applyAlignment="1">
      <alignment horizontal="center" vertical="center"/>
    </xf>
    <xf numFmtId="0" fontId="37" fillId="4" borderId="1" xfId="0" applyFont="1" applyFill="1" applyBorder="1" applyAlignment="1">
      <alignment horizontal="center" vertical="top"/>
    </xf>
    <xf numFmtId="49" fontId="8" fillId="4" borderId="1" xfId="0" applyNumberFormat="1" applyFont="1" applyFill="1" applyBorder="1" applyAlignment="1">
      <alignment horizontal="center" vertical="top"/>
    </xf>
    <xf numFmtId="0" fontId="36" fillId="4" borderId="1" xfId="0" applyFont="1" applyFill="1" applyBorder="1" applyAlignment="1">
      <alignment horizontal="center" vertical="center" wrapText="1"/>
    </xf>
    <xf numFmtId="166" fontId="2" fillId="4" borderId="1" xfId="0" applyNumberFormat="1" applyFont="1" applyFill="1" applyBorder="1" applyAlignment="1">
      <alignment horizontal="center" vertical="center"/>
    </xf>
    <xf numFmtId="49" fontId="8" fillId="4" borderId="9" xfId="0" applyNumberFormat="1" applyFont="1" applyFill="1" applyBorder="1" applyAlignment="1">
      <alignment horizontal="center" vertical="top"/>
    </xf>
    <xf numFmtId="0" fontId="38" fillId="4" borderId="1" xfId="0" applyFont="1" applyFill="1" applyBorder="1" applyAlignment="1">
      <alignment vertical="center" wrapText="1"/>
    </xf>
    <xf numFmtId="2" fontId="35" fillId="4" borderId="1" xfId="0" applyNumberFormat="1" applyFont="1" applyFill="1" applyBorder="1" applyAlignment="1">
      <alignment horizontal="center" vertical="top" wrapText="1"/>
    </xf>
    <xf numFmtId="2" fontId="35" fillId="4" borderId="1" xfId="0" applyNumberFormat="1" applyFont="1" applyFill="1" applyBorder="1" applyAlignment="1">
      <alignment horizontal="center" vertical="center" wrapText="1"/>
    </xf>
    <xf numFmtId="0" fontId="34" fillId="4" borderId="1" xfId="0" applyFont="1" applyFill="1" applyBorder="1" applyAlignment="1">
      <alignment vertical="top" wrapText="1"/>
    </xf>
    <xf numFmtId="0" fontId="8" fillId="4" borderId="1" xfId="0" applyFont="1" applyFill="1" applyBorder="1" applyAlignment="1">
      <alignment horizontal="left" vertical="top" wrapText="1"/>
    </xf>
    <xf numFmtId="0" fontId="34" fillId="4" borderId="3" xfId="0" applyFont="1" applyFill="1" applyBorder="1" applyAlignment="1">
      <alignment vertical="top" wrapText="1"/>
    </xf>
    <xf numFmtId="0" fontId="35" fillId="4" borderId="3" xfId="0" applyFont="1" applyFill="1" applyBorder="1" applyAlignment="1">
      <alignment horizontal="center" vertical="top" wrapText="1"/>
    </xf>
    <xf numFmtId="0" fontId="34" fillId="4" borderId="1" xfId="0" applyFont="1" applyFill="1" applyBorder="1" applyAlignment="1">
      <alignment horizontal="left" vertical="top" wrapText="1"/>
    </xf>
    <xf numFmtId="2" fontId="36" fillId="4" borderId="1" xfId="0" applyNumberFormat="1" applyFont="1" applyFill="1" applyBorder="1" applyAlignment="1">
      <alignment horizontal="center" vertical="top" wrapText="1"/>
    </xf>
    <xf numFmtId="2" fontId="2" fillId="4" borderId="2" xfId="0" applyNumberFormat="1" applyFont="1" applyFill="1" applyBorder="1" applyAlignment="1">
      <alignment horizontal="center" vertical="top"/>
    </xf>
    <xf numFmtId="0" fontId="34" fillId="4" borderId="3" xfId="0" applyFont="1" applyFill="1" applyBorder="1" applyAlignment="1">
      <alignment vertical="center" wrapText="1"/>
    </xf>
    <xf numFmtId="2" fontId="35" fillId="4" borderId="3" xfId="0" applyNumberFormat="1" applyFont="1" applyFill="1" applyBorder="1" applyAlignment="1">
      <alignment horizontal="center" vertical="top" wrapText="1"/>
    </xf>
    <xf numFmtId="0" fontId="24" fillId="4" borderId="1" xfId="0" applyFont="1" applyFill="1" applyBorder="1" applyAlignment="1">
      <alignment horizontal="left" vertical="top" wrapText="1"/>
    </xf>
    <xf numFmtId="1" fontId="8" fillId="4" borderId="2" xfId="0" applyNumberFormat="1" applyFont="1" applyFill="1" applyBorder="1" applyAlignment="1">
      <alignment horizontal="center" vertical="top"/>
    </xf>
    <xf numFmtId="0" fontId="39" fillId="4" borderId="1" xfId="0" applyFont="1" applyFill="1" applyBorder="1" applyAlignment="1">
      <alignment horizontal="center" vertical="center"/>
    </xf>
    <xf numFmtId="1" fontId="8" fillId="4" borderId="2" xfId="0" applyNumberFormat="1" applyFont="1" applyFill="1" applyBorder="1" applyAlignment="1">
      <alignment horizontal="center" vertical="center"/>
    </xf>
    <xf numFmtId="0" fontId="39" fillId="4" borderId="1" xfId="0" applyFont="1" applyFill="1" applyBorder="1" applyAlignment="1">
      <alignment horizontal="center" vertical="top"/>
    </xf>
    <xf numFmtId="49" fontId="5" fillId="4" borderId="3" xfId="0" applyNumberFormat="1" applyFont="1" applyFill="1" applyBorder="1" applyAlignment="1">
      <alignment horizontal="center" vertical="top" wrapText="1"/>
    </xf>
    <xf numFmtId="0" fontId="2" fillId="4" borderId="1" xfId="0"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0" fontId="2" fillId="4" borderId="1" xfId="0" applyFont="1" applyFill="1" applyBorder="1" applyAlignment="1">
      <alignment horizontal="left" vertical="top" wrapText="1"/>
    </xf>
    <xf numFmtId="0" fontId="2" fillId="4" borderId="1" xfId="0" applyFont="1" applyFill="1" applyBorder="1" applyAlignment="1">
      <alignment horizontal="center" vertical="center" wrapText="1"/>
    </xf>
    <xf numFmtId="1" fontId="2" fillId="4" borderId="1" xfId="0" applyNumberFormat="1" applyFont="1" applyFill="1" applyBorder="1" applyAlignment="1">
      <alignment horizontal="center" vertical="center" wrapText="1"/>
    </xf>
    <xf numFmtId="0" fontId="35" fillId="4" borderId="1" xfId="0" applyFont="1" applyFill="1" applyBorder="1" applyAlignment="1">
      <alignment vertical="center" wrapText="1"/>
    </xf>
    <xf numFmtId="49" fontId="24" fillId="4" borderId="1" xfId="0" applyNumberFormat="1" applyFont="1" applyFill="1" applyBorder="1" applyAlignment="1">
      <alignment horizontal="center" vertical="top" wrapText="1"/>
    </xf>
    <xf numFmtId="0" fontId="23" fillId="4" borderId="0" xfId="0" applyFont="1" applyFill="1" applyAlignment="1">
      <alignment vertical="top"/>
    </xf>
    <xf numFmtId="0" fontId="36" fillId="4" borderId="3" xfId="0" applyFont="1" applyFill="1" applyBorder="1" applyAlignment="1">
      <alignment horizontal="center" vertical="top" wrapText="1"/>
    </xf>
    <xf numFmtId="49" fontId="5" fillId="4" borderId="9" xfId="0" applyNumberFormat="1" applyFont="1" applyFill="1" applyBorder="1" applyAlignment="1">
      <alignment horizontal="center" vertical="top" wrapText="1"/>
    </xf>
    <xf numFmtId="0" fontId="2" fillId="4" borderId="2" xfId="0" applyFont="1" applyFill="1" applyBorder="1" applyAlignment="1">
      <alignment horizontal="center" vertical="top" wrapText="1"/>
    </xf>
    <xf numFmtId="0" fontId="2" fillId="4" borderId="2" xfId="0" applyFont="1" applyFill="1" applyBorder="1" applyAlignment="1">
      <alignment horizontal="center" vertical="center" wrapText="1"/>
    </xf>
    <xf numFmtId="2" fontId="2" fillId="4" borderId="1" xfId="0" applyNumberFormat="1" applyFont="1" applyFill="1" applyBorder="1" applyAlignment="1">
      <alignment horizontal="center" vertical="top" wrapText="1"/>
    </xf>
    <xf numFmtId="0" fontId="2" fillId="4" borderId="1" xfId="0" applyFont="1" applyFill="1" applyBorder="1" applyAlignment="1">
      <alignment horizontal="center" wrapText="1"/>
    </xf>
    <xf numFmtId="49" fontId="24" fillId="4" borderId="1" xfId="0" applyNumberFormat="1" applyFont="1" applyFill="1" applyBorder="1" applyAlignment="1">
      <alignment horizontal="center" vertical="top"/>
    </xf>
    <xf numFmtId="0" fontId="24" fillId="4" borderId="1" xfId="0" applyFont="1" applyFill="1" applyBorder="1" applyAlignment="1">
      <alignment horizontal="left" vertical="top" wrapText="1"/>
    </xf>
    <xf numFmtId="49" fontId="2" fillId="4" borderId="1" xfId="0" applyNumberFormat="1" applyFont="1" applyFill="1" applyBorder="1" applyAlignment="1">
      <alignment horizontal="center" vertical="top"/>
    </xf>
    <xf numFmtId="49" fontId="24" fillId="4" borderId="4" xfId="0" applyNumberFormat="1" applyFont="1" applyFill="1" applyBorder="1" applyAlignment="1">
      <alignment horizontal="center" vertical="top"/>
    </xf>
    <xf numFmtId="49" fontId="2" fillId="4" borderId="4" xfId="0" applyNumberFormat="1" applyFont="1" applyFill="1" applyBorder="1" applyAlignment="1">
      <alignment horizontal="center" vertical="top"/>
    </xf>
    <xf numFmtId="49" fontId="2" fillId="4" borderId="5" xfId="0" applyNumberFormat="1" applyFont="1" applyFill="1" applyBorder="1" applyAlignment="1">
      <alignment horizontal="center" vertical="top"/>
    </xf>
    <xf numFmtId="49" fontId="5" fillId="4" borderId="4" xfId="0" applyNumberFormat="1" applyFont="1" applyFill="1" applyBorder="1" applyAlignment="1">
      <alignment horizontal="center" vertical="top"/>
    </xf>
    <xf numFmtId="49" fontId="24" fillId="4" borderId="3" xfId="0" applyNumberFormat="1" applyFont="1" applyFill="1" applyBorder="1" applyAlignment="1">
      <alignment horizontal="center" vertical="top"/>
    </xf>
    <xf numFmtId="49" fontId="2" fillId="4" borderId="3" xfId="0" applyNumberFormat="1" applyFont="1" applyFill="1" applyBorder="1" applyAlignment="1">
      <alignment horizontal="center" vertical="top"/>
    </xf>
    <xf numFmtId="167" fontId="2" fillId="4" borderId="1" xfId="0" applyNumberFormat="1" applyFont="1" applyFill="1" applyBorder="1" applyAlignment="1">
      <alignment horizontal="center" vertical="center" wrapText="1"/>
    </xf>
    <xf numFmtId="167" fontId="2" fillId="4" borderId="1" xfId="0" applyNumberFormat="1" applyFont="1" applyFill="1" applyBorder="1" applyAlignment="1">
      <alignment horizontal="center" vertical="center"/>
    </xf>
    <xf numFmtId="49" fontId="2" fillId="4" borderId="8" xfId="0" applyNumberFormat="1" applyFont="1" applyFill="1" applyBorder="1" applyAlignment="1">
      <alignment horizontal="center" vertical="top"/>
    </xf>
    <xf numFmtId="0" fontId="2" fillId="4" borderId="2" xfId="0" applyFont="1" applyFill="1" applyBorder="1" applyAlignment="1">
      <alignment horizontal="center" vertical="top"/>
    </xf>
    <xf numFmtId="169" fontId="2" fillId="4" borderId="2" xfId="0" applyNumberFormat="1" applyFont="1" applyFill="1" applyBorder="1" applyAlignment="1">
      <alignment horizontal="center" vertical="top"/>
    </xf>
    <xf numFmtId="2" fontId="2" fillId="4" borderId="1" xfId="0" applyNumberFormat="1" applyFont="1" applyFill="1" applyBorder="1" applyAlignment="1">
      <alignment horizontal="center" vertical="top"/>
    </xf>
    <xf numFmtId="0" fontId="35" fillId="4" borderId="1" xfId="0" applyFont="1" applyFill="1" applyBorder="1" applyAlignment="1">
      <alignment vertical="top" wrapText="1"/>
    </xf>
    <xf numFmtId="49" fontId="5" fillId="4" borderId="5" xfId="0" applyNumberFormat="1" applyFont="1" applyFill="1" applyBorder="1" applyAlignment="1">
      <alignment horizontal="center" vertical="top"/>
    </xf>
    <xf numFmtId="4" fontId="8" fillId="4" borderId="1" xfId="0" applyNumberFormat="1" applyFont="1" applyFill="1" applyBorder="1" applyAlignment="1">
      <alignment horizontal="center" vertical="top"/>
    </xf>
    <xf numFmtId="4" fontId="2" fillId="4" borderId="1" xfId="0" applyNumberFormat="1" applyFont="1" applyFill="1" applyBorder="1" applyAlignment="1">
      <alignment horizontal="center" vertical="top"/>
    </xf>
    <xf numFmtId="0" fontId="34" fillId="4" borderId="1" xfId="0" applyFont="1" applyFill="1" applyBorder="1" applyAlignment="1">
      <alignment horizontal="center" vertical="top" wrapText="1"/>
    </xf>
    <xf numFmtId="49" fontId="22" fillId="4" borderId="1" xfId="0" applyNumberFormat="1" applyFont="1" applyFill="1" applyBorder="1" applyAlignment="1">
      <alignment horizontal="center" vertical="top"/>
    </xf>
    <xf numFmtId="49" fontId="23" fillId="4" borderId="3" xfId="0" applyNumberFormat="1" applyFont="1" applyFill="1" applyBorder="1" applyAlignment="1">
      <alignment horizontal="center" vertical="top"/>
    </xf>
    <xf numFmtId="0" fontId="34" fillId="4" borderId="1" xfId="0" applyFont="1" applyFill="1" applyBorder="1" applyAlignment="1">
      <alignment horizontal="left" vertical="center" wrapText="1"/>
    </xf>
    <xf numFmtId="0" fontId="35" fillId="4" borderId="1" xfId="0" applyFont="1" applyFill="1" applyBorder="1" applyAlignment="1">
      <alignment horizontal="left" vertical="top" wrapText="1"/>
    </xf>
    <xf numFmtId="0" fontId="8" fillId="4" borderId="0" xfId="0" applyFont="1" applyFill="1" applyBorder="1" applyAlignment="1">
      <alignment vertical="top"/>
    </xf>
    <xf numFmtId="0" fontId="35" fillId="4" borderId="3" xfId="0" applyFont="1" applyFill="1" applyBorder="1" applyAlignment="1">
      <alignment vertical="top" wrapText="1"/>
    </xf>
    <xf numFmtId="167" fontId="8" fillId="4" borderId="1" xfId="0" applyNumberFormat="1" applyFont="1" applyFill="1" applyBorder="1" applyAlignment="1">
      <alignment horizontal="center" vertical="center"/>
    </xf>
    <xf numFmtId="0" fontId="8" fillId="4" borderId="1" xfId="0" applyFont="1" applyFill="1" applyBorder="1" applyAlignment="1">
      <alignment horizontal="center" vertical="center"/>
    </xf>
    <xf numFmtId="49" fontId="25" fillId="4" borderId="5" xfId="0" applyNumberFormat="1" applyFont="1" applyFill="1" applyBorder="1" applyAlignment="1">
      <alignment horizontal="center" vertical="top"/>
    </xf>
    <xf numFmtId="0" fontId="40" fillId="4" borderId="0" xfId="0" applyFont="1" applyFill="1"/>
    <xf numFmtId="49" fontId="25" fillId="4" borderId="4" xfId="0" applyNumberFormat="1" applyFont="1" applyFill="1" applyBorder="1" applyAlignment="1">
      <alignment horizontal="center" vertical="top"/>
    </xf>
    <xf numFmtId="1" fontId="2" fillId="4" borderId="1" xfId="0" applyNumberFormat="1" applyFont="1" applyFill="1" applyBorder="1" applyAlignment="1">
      <alignment horizontal="center" vertical="top"/>
    </xf>
    <xf numFmtId="0" fontId="8" fillId="4" borderId="0" xfId="0" applyFont="1" applyFill="1" applyAlignment="1">
      <alignment horizontal="left" vertical="top"/>
    </xf>
    <xf numFmtId="0" fontId="8" fillId="4" borderId="0" xfId="0" applyFont="1" applyFill="1" applyAlignment="1">
      <alignment horizontal="center" vertical="top"/>
    </xf>
    <xf numFmtId="3" fontId="8" fillId="4" borderId="0" xfId="0" applyNumberFormat="1" applyFont="1" applyFill="1" applyAlignment="1">
      <alignment horizontal="center" vertical="top"/>
    </xf>
    <xf numFmtId="49" fontId="8" fillId="4" borderId="0" xfId="0" applyNumberFormat="1" applyFont="1" applyFill="1" applyAlignment="1">
      <alignment horizontal="center" vertical="top"/>
    </xf>
    <xf numFmtId="166" fontId="41" fillId="0" borderId="1" xfId="0" applyNumberFormat="1" applyFont="1" applyBorder="1" applyAlignment="1">
      <alignment horizontal="right" vertical="top" wrapText="1"/>
    </xf>
    <xf numFmtId="4" fontId="41" fillId="0" borderId="1" xfId="0" applyNumberFormat="1" applyFont="1" applyFill="1" applyBorder="1" applyAlignment="1">
      <alignment horizontal="right" vertical="top" wrapText="1"/>
    </xf>
    <xf numFmtId="4" fontId="8" fillId="5" borderId="0" xfId="0" applyNumberFormat="1" applyFont="1" applyFill="1" applyAlignment="1">
      <alignment horizontal="right" vertical="top" wrapText="1"/>
    </xf>
    <xf numFmtId="4" fontId="2" fillId="5" borderId="1" xfId="0" applyNumberFormat="1" applyFont="1" applyFill="1" applyBorder="1" applyAlignment="1">
      <alignment horizontal="center" vertical="top" wrapText="1"/>
    </xf>
    <xf numFmtId="166" fontId="4" fillId="5" borderId="1" xfId="0" applyNumberFormat="1" applyFont="1" applyFill="1" applyBorder="1" applyAlignment="1">
      <alignment horizontal="right" vertical="top" wrapText="1"/>
    </xf>
    <xf numFmtId="166" fontId="7" fillId="5" borderId="1" xfId="0" applyNumberFormat="1" applyFont="1" applyFill="1" applyBorder="1" applyAlignment="1">
      <alignment horizontal="right" vertical="top" wrapText="1"/>
    </xf>
    <xf numFmtId="166" fontId="11" fillId="5" borderId="1" xfId="0" applyNumberFormat="1" applyFont="1" applyFill="1" applyBorder="1" applyAlignment="1">
      <alignment horizontal="right" vertical="top" wrapText="1"/>
    </xf>
    <xf numFmtId="166" fontId="3" fillId="5" borderId="1" xfId="0" applyNumberFormat="1" applyFont="1" applyFill="1" applyBorder="1" applyAlignment="1">
      <alignment horizontal="right" vertical="top" wrapText="1"/>
    </xf>
    <xf numFmtId="166" fontId="2" fillId="5" borderId="1" xfId="0" applyNumberFormat="1" applyFont="1" applyFill="1" applyBorder="1" applyAlignment="1">
      <alignment horizontal="right" vertical="top" wrapText="1"/>
    </xf>
    <xf numFmtId="166" fontId="8" fillId="5" borderId="1" xfId="0" applyNumberFormat="1" applyFont="1" applyFill="1" applyBorder="1" applyAlignment="1">
      <alignment horizontal="right" vertical="top" wrapText="1"/>
    </xf>
    <xf numFmtId="166" fontId="12" fillId="5" borderId="1" xfId="0" applyNumberFormat="1" applyFont="1" applyFill="1" applyBorder="1" applyAlignment="1">
      <alignment horizontal="right" vertical="top" wrapText="1"/>
    </xf>
    <xf numFmtId="166" fontId="5" fillId="5" borderId="1" xfId="0" applyNumberFormat="1" applyFont="1" applyFill="1" applyBorder="1" applyAlignment="1">
      <alignment horizontal="right" vertical="top" wrapText="1"/>
    </xf>
    <xf numFmtId="166" fontId="41" fillId="5" borderId="1" xfId="0" applyNumberFormat="1" applyFont="1" applyFill="1" applyBorder="1" applyAlignment="1">
      <alignment horizontal="right" vertical="top" wrapText="1"/>
    </xf>
    <xf numFmtId="4" fontId="9" fillId="5" borderId="0" xfId="0" applyNumberFormat="1" applyFont="1" applyFill="1" applyAlignment="1">
      <alignment horizontal="right" vertical="top" wrapText="1"/>
    </xf>
    <xf numFmtId="4" fontId="5" fillId="5" borderId="0" xfId="0" applyNumberFormat="1" applyFont="1" applyFill="1" applyAlignment="1">
      <alignment horizontal="right"/>
    </xf>
    <xf numFmtId="4" fontId="2" fillId="5" borderId="0" xfId="0" applyNumberFormat="1" applyFont="1" applyFill="1" applyAlignment="1">
      <alignment horizontal="right"/>
    </xf>
    <xf numFmtId="4" fontId="2" fillId="5" borderId="1" xfId="0" applyNumberFormat="1" applyFont="1" applyFill="1" applyBorder="1" applyAlignment="1">
      <alignment horizontal="center" vertical="center" wrapText="1"/>
    </xf>
    <xf numFmtId="4" fontId="5" fillId="5" borderId="1" xfId="0" applyNumberFormat="1" applyFont="1" applyFill="1" applyBorder="1" applyAlignment="1">
      <alignment horizontal="right" vertical="top"/>
    </xf>
    <xf numFmtId="0" fontId="5" fillId="4" borderId="2" xfId="0" applyFont="1" applyFill="1" applyBorder="1" applyAlignment="1">
      <alignment horizontal="left" vertical="top" wrapText="1"/>
    </xf>
    <xf numFmtId="0" fontId="24" fillId="4" borderId="2" xfId="0" applyFont="1" applyFill="1" applyBorder="1" applyAlignment="1">
      <alignment horizontal="left" vertical="top" wrapText="1"/>
    </xf>
    <xf numFmtId="0" fontId="24" fillId="4" borderId="1" xfId="0" applyFont="1" applyFill="1" applyBorder="1" applyAlignment="1">
      <alignment horizontal="left" vertical="top" wrapText="1"/>
    </xf>
    <xf numFmtId="0" fontId="5" fillId="4" borderId="1" xfId="0" applyFont="1" applyFill="1" applyBorder="1" applyAlignment="1">
      <alignment horizontal="left" vertical="top" wrapText="1"/>
    </xf>
    <xf numFmtId="0" fontId="38" fillId="4" borderId="2" xfId="0" applyFont="1" applyFill="1" applyBorder="1" applyAlignment="1">
      <alignment vertical="center" wrapText="1"/>
    </xf>
    <xf numFmtId="0" fontId="38" fillId="4" borderId="2" xfId="0" applyFont="1" applyFill="1" applyBorder="1" applyAlignment="1">
      <alignment vertical="top" wrapText="1"/>
    </xf>
    <xf numFmtId="0" fontId="0" fillId="4" borderId="0" xfId="0" applyFont="1" applyFill="1"/>
    <xf numFmtId="0" fontId="34" fillId="4" borderId="2" xfId="0" applyFont="1" applyFill="1" applyBorder="1" applyAlignment="1">
      <alignment vertical="top" wrapText="1"/>
    </xf>
    <xf numFmtId="0" fontId="2" fillId="4" borderId="2" xfId="0" applyFont="1" applyFill="1" applyBorder="1" applyAlignment="1">
      <alignment horizontal="left" vertical="top" wrapText="1"/>
    </xf>
    <xf numFmtId="49" fontId="22" fillId="4" borderId="5" xfId="0" applyNumberFormat="1" applyFont="1" applyFill="1" applyBorder="1" applyAlignment="1">
      <alignment horizontal="center" vertical="top"/>
    </xf>
    <xf numFmtId="0" fontId="35" fillId="4" borderId="2" xfId="0" applyFont="1" applyFill="1" applyBorder="1" applyAlignment="1">
      <alignment vertical="center" wrapText="1"/>
    </xf>
    <xf numFmtId="0" fontId="35" fillId="4" borderId="2" xfId="0" applyFont="1" applyFill="1" applyBorder="1" applyAlignment="1">
      <alignment vertical="top" wrapText="1"/>
    </xf>
    <xf numFmtId="49" fontId="5" fillId="6" borderId="5" xfId="0" applyNumberFormat="1" applyFont="1" applyFill="1" applyBorder="1" applyAlignment="1">
      <alignment horizontal="center" vertical="top" wrapText="1"/>
    </xf>
    <xf numFmtId="49" fontId="24" fillId="4" borderId="3" xfId="0" applyNumberFormat="1" applyFont="1" applyFill="1" applyBorder="1" applyAlignment="1">
      <alignment horizontal="center" vertical="top" wrapText="1"/>
    </xf>
    <xf numFmtId="49" fontId="24" fillId="4" borderId="5" xfId="0" applyNumberFormat="1" applyFont="1" applyFill="1" applyBorder="1" applyAlignment="1">
      <alignment horizontal="center" vertical="top" wrapText="1"/>
    </xf>
    <xf numFmtId="49" fontId="24" fillId="4" borderId="4" xfId="0" applyNumberFormat="1" applyFont="1" applyFill="1" applyBorder="1" applyAlignment="1">
      <alignment horizontal="center" vertical="top" wrapText="1"/>
    </xf>
    <xf numFmtId="0" fontId="24" fillId="4" borderId="1" xfId="0" applyFont="1" applyFill="1" applyBorder="1" applyAlignment="1">
      <alignment horizontal="center" vertical="top" wrapText="1"/>
    </xf>
    <xf numFmtId="49" fontId="5" fillId="6" borderId="4" xfId="0" applyNumberFormat="1" applyFont="1" applyFill="1" applyBorder="1" applyAlignment="1">
      <alignment horizontal="center" vertical="top"/>
    </xf>
    <xf numFmtId="0" fontId="0" fillId="4" borderId="0" xfId="0" applyFill="1" applyAlignment="1">
      <alignment vertical="top"/>
    </xf>
    <xf numFmtId="0" fontId="35" fillId="4" borderId="0" xfId="0" applyFont="1" applyFill="1"/>
    <xf numFmtId="0" fontId="2" fillId="7" borderId="1" xfId="0" applyFont="1" applyFill="1" applyBorder="1" applyAlignment="1">
      <alignment horizontal="left" vertical="top" wrapText="1"/>
    </xf>
    <xf numFmtId="0" fontId="2" fillId="7" borderId="2" xfId="0" applyFont="1" applyFill="1" applyBorder="1" applyAlignment="1">
      <alignment horizontal="left" vertical="top" wrapText="1"/>
    </xf>
    <xf numFmtId="0" fontId="42" fillId="4" borderId="0" xfId="0" applyFont="1" applyFill="1"/>
    <xf numFmtId="0" fontId="38" fillId="4" borderId="0" xfId="0" applyFont="1" applyFill="1"/>
    <xf numFmtId="49" fontId="5" fillId="6" borderId="5" xfId="0" applyNumberFormat="1" applyFont="1" applyFill="1" applyBorder="1" applyAlignment="1">
      <alignment horizontal="center" vertical="top"/>
    </xf>
    <xf numFmtId="4" fontId="2" fillId="4" borderId="1" xfId="0" applyNumberFormat="1" applyFont="1" applyFill="1" applyBorder="1" applyAlignment="1">
      <alignment horizontal="center" vertical="top" wrapText="1"/>
    </xf>
    <xf numFmtId="0" fontId="5" fillId="4" borderId="10" xfId="0" applyFont="1" applyFill="1" applyBorder="1" applyAlignment="1">
      <alignment horizontal="left" vertical="top" wrapText="1"/>
    </xf>
    <xf numFmtId="0" fontId="8" fillId="4" borderId="3" xfId="0" applyFont="1" applyFill="1" applyBorder="1" applyAlignment="1">
      <alignment vertical="top" wrapText="1"/>
    </xf>
    <xf numFmtId="49" fontId="24" fillId="6" borderId="1" xfId="0" applyNumberFormat="1" applyFont="1" applyFill="1" applyBorder="1" applyAlignment="1">
      <alignment horizontal="center" vertical="top"/>
    </xf>
    <xf numFmtId="0" fontId="40" fillId="0" borderId="0" xfId="0" applyFont="1" applyFill="1"/>
    <xf numFmtId="0" fontId="0" fillId="0" borderId="0" xfId="0" applyFill="1"/>
    <xf numFmtId="0" fontId="23" fillId="0" borderId="0" xfId="0" applyFont="1" applyFill="1" applyAlignment="1">
      <alignment vertical="top"/>
    </xf>
    <xf numFmtId="49" fontId="24" fillId="0" borderId="1" xfId="0" applyNumberFormat="1" applyFont="1" applyFill="1" applyBorder="1" applyAlignment="1">
      <alignment horizontal="center" vertical="top"/>
    </xf>
    <xf numFmtId="0" fontId="2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2" fillId="7" borderId="5" xfId="0" applyFont="1" applyFill="1" applyBorder="1" applyAlignment="1">
      <alignment horizontal="left" vertical="top" wrapText="1"/>
    </xf>
    <xf numFmtId="3" fontId="2" fillId="0" borderId="1" xfId="0" applyNumberFormat="1" applyFont="1" applyFill="1" applyBorder="1" applyAlignment="1">
      <alignment horizontal="center" vertical="top" wrapText="1"/>
    </xf>
    <xf numFmtId="4" fontId="2" fillId="0" borderId="1" xfId="0" applyNumberFormat="1" applyFont="1" applyFill="1" applyBorder="1" applyAlignment="1">
      <alignment horizontal="right" vertical="top"/>
    </xf>
    <xf numFmtId="4" fontId="2" fillId="0" borderId="1" xfId="0" applyNumberFormat="1" applyFont="1" applyFill="1" applyBorder="1" applyAlignment="1">
      <alignment horizontal="right" vertical="center" wrapText="1"/>
    </xf>
    <xf numFmtId="0" fontId="0" fillId="0" borderId="0" xfId="0" applyAlignment="1">
      <alignment horizontal="center" vertical="top"/>
    </xf>
    <xf numFmtId="0" fontId="0" fillId="0" borderId="0" xfId="0" applyAlignment="1">
      <alignment vertical="top"/>
    </xf>
    <xf numFmtId="4" fontId="0" fillId="0" borderId="0" xfId="0" applyNumberFormat="1" applyAlignment="1">
      <alignment horizontal="center"/>
    </xf>
    <xf numFmtId="4" fontId="0" fillId="0" borderId="0" xfId="0" applyNumberFormat="1" applyAlignment="1">
      <alignment horizontal="right"/>
    </xf>
    <xf numFmtId="0" fontId="0" fillId="0" borderId="0" xfId="0" applyAlignment="1">
      <alignment horizontal="right"/>
    </xf>
    <xf numFmtId="4" fontId="0" fillId="0" borderId="1" xfId="0" applyNumberFormat="1" applyBorder="1" applyAlignment="1">
      <alignment horizontal="center"/>
    </xf>
    <xf numFmtId="4" fontId="0" fillId="0" borderId="1" xfId="0" applyNumberFormat="1" applyBorder="1"/>
    <xf numFmtId="4" fontId="0" fillId="0" borderId="0" xfId="0" applyNumberFormat="1" applyAlignment="1"/>
    <xf numFmtId="4" fontId="0" fillId="0" borderId="1" xfId="0" applyNumberFormat="1" applyBorder="1" applyAlignment="1"/>
    <xf numFmtId="0" fontId="24" fillId="4" borderId="10" xfId="0" applyFont="1" applyFill="1" applyBorder="1" applyAlignment="1">
      <alignment horizontal="left" vertical="top" wrapText="1"/>
    </xf>
    <xf numFmtId="0" fontId="24" fillId="4" borderId="1" xfId="0" applyFont="1" applyFill="1" applyBorder="1" applyAlignment="1">
      <alignment horizontal="left" vertical="top" wrapText="1"/>
    </xf>
    <xf numFmtId="4" fontId="43" fillId="0" borderId="11" xfId="0" applyNumberFormat="1" applyFont="1" applyBorder="1" applyAlignment="1">
      <alignment horizontal="center" vertical="center"/>
    </xf>
    <xf numFmtId="9" fontId="31" fillId="0" borderId="0" xfId="2" applyFont="1"/>
    <xf numFmtId="4" fontId="26" fillId="0" borderId="1" xfId="0" applyNumberFormat="1" applyFont="1" applyFill="1" applyBorder="1" applyAlignment="1">
      <alignment horizontal="right" vertical="top" wrapText="1"/>
    </xf>
    <xf numFmtId="2" fontId="3" fillId="0" borderId="1" xfId="0" applyNumberFormat="1" applyFont="1" applyFill="1" applyBorder="1" applyAlignment="1">
      <alignment horizontal="right" vertical="top" wrapText="1"/>
    </xf>
    <xf numFmtId="4" fontId="3" fillId="0" borderId="9" xfId="0" applyNumberFormat="1" applyFont="1" applyFill="1" applyBorder="1" applyAlignment="1">
      <alignment horizontal="right" vertical="top" wrapText="1"/>
    </xf>
    <xf numFmtId="4" fontId="26" fillId="0" borderId="9" xfId="0" applyNumberFormat="1" applyFont="1" applyFill="1" applyBorder="1" applyAlignment="1">
      <alignment horizontal="right" vertical="top" wrapText="1"/>
    </xf>
    <xf numFmtId="4" fontId="2" fillId="0" borderId="9" xfId="0" applyNumberFormat="1" applyFont="1" applyFill="1" applyBorder="1" applyAlignment="1">
      <alignment horizontal="center" vertical="top" wrapText="1"/>
    </xf>
    <xf numFmtId="4" fontId="8" fillId="0" borderId="0" xfId="0" applyNumberFormat="1" applyFont="1" applyFill="1" applyBorder="1" applyAlignment="1">
      <alignment horizontal="right" vertical="top" wrapText="1"/>
    </xf>
    <xf numFmtId="4" fontId="9" fillId="0" borderId="0" xfId="0" applyNumberFormat="1" applyFont="1" applyFill="1" applyAlignment="1">
      <alignment horizontal="right" vertical="top" wrapText="1"/>
    </xf>
    <xf numFmtId="0" fontId="2" fillId="0" borderId="1" xfId="0" applyFont="1" applyFill="1" applyBorder="1" applyAlignment="1">
      <alignment horizontal="center" vertical="top" wrapText="1"/>
    </xf>
    <xf numFmtId="0" fontId="44" fillId="4" borderId="0" xfId="0" applyFont="1" applyFill="1" applyAlignment="1">
      <alignment vertical="top" wrapText="1"/>
    </xf>
    <xf numFmtId="0" fontId="45" fillId="4" borderId="0" xfId="0" applyFont="1" applyFill="1" applyAlignment="1">
      <alignment vertical="top" wrapText="1"/>
    </xf>
    <xf numFmtId="0" fontId="46" fillId="4" borderId="0" xfId="0" applyFont="1" applyFill="1" applyAlignment="1">
      <alignment vertical="top" wrapText="1"/>
    </xf>
    <xf numFmtId="0" fontId="47" fillId="4" borderId="0" xfId="0" applyFont="1" applyFill="1" applyAlignment="1">
      <alignment vertical="top" wrapText="1"/>
    </xf>
    <xf numFmtId="0" fontId="48" fillId="4" borderId="0" xfId="0" applyFont="1" applyFill="1" applyAlignment="1">
      <alignment vertical="top" wrapText="1"/>
    </xf>
    <xf numFmtId="0" fontId="48" fillId="0" borderId="0" xfId="0" applyFont="1" applyFill="1" applyAlignment="1">
      <alignment vertical="top" wrapText="1"/>
    </xf>
    <xf numFmtId="0" fontId="2" fillId="0" borderId="1" xfId="0" applyFont="1" applyFill="1" applyBorder="1" applyAlignment="1">
      <alignment horizontal="left" vertical="top" wrapText="1"/>
    </xf>
    <xf numFmtId="0" fontId="8" fillId="0" borderId="1" xfId="0" applyFont="1" applyFill="1" applyBorder="1" applyAlignment="1">
      <alignment vertical="top" wrapText="1"/>
    </xf>
    <xf numFmtId="3" fontId="2" fillId="4" borderId="1" xfId="0" applyNumberFormat="1" applyFont="1" applyFill="1" applyBorder="1" applyAlignment="1">
      <alignment horizontal="center" vertical="top" wrapText="1"/>
    </xf>
    <xf numFmtId="3" fontId="2" fillId="0" borderId="3" xfId="0" applyNumberFormat="1" applyFont="1" applyFill="1" applyBorder="1" applyAlignment="1">
      <alignment horizontal="center" vertical="top"/>
    </xf>
    <xf numFmtId="3" fontId="2" fillId="4" borderId="3" xfId="0" applyNumberFormat="1" applyFont="1" applyFill="1" applyBorder="1" applyAlignment="1">
      <alignment horizontal="center" vertical="top"/>
    </xf>
    <xf numFmtId="2" fontId="2" fillId="0" borderId="1" xfId="0" applyNumberFormat="1" applyFont="1" applyFill="1" applyBorder="1" applyAlignment="1">
      <alignment horizontal="center" vertical="top" wrapText="1"/>
    </xf>
    <xf numFmtId="169" fontId="2" fillId="0" borderId="1" xfId="0" applyNumberFormat="1" applyFont="1" applyFill="1" applyBorder="1" applyAlignment="1">
      <alignment horizontal="center" vertical="top" wrapText="1"/>
    </xf>
    <xf numFmtId="3" fontId="2" fillId="0" borderId="1" xfId="0" applyNumberFormat="1" applyFont="1" applyFill="1" applyBorder="1" applyAlignment="1">
      <alignment horizontal="center" vertical="top"/>
    </xf>
    <xf numFmtId="4" fontId="2" fillId="0" borderId="2" xfId="0" applyNumberFormat="1" applyFont="1" applyFill="1" applyBorder="1" applyAlignment="1">
      <alignment horizontal="center" vertical="top" wrapText="1"/>
    </xf>
    <xf numFmtId="4" fontId="2" fillId="0" borderId="3" xfId="0" applyNumberFormat="1" applyFont="1" applyFill="1" applyBorder="1" applyAlignment="1">
      <alignment horizontal="center" vertical="top"/>
    </xf>
    <xf numFmtId="4" fontId="2" fillId="4" borderId="3" xfId="0" applyNumberFormat="1" applyFont="1" applyFill="1" applyBorder="1" applyAlignment="1">
      <alignment horizontal="center" vertical="top"/>
    </xf>
    <xf numFmtId="0" fontId="2" fillId="0" borderId="1" xfId="0" applyFont="1" applyFill="1" applyBorder="1" applyAlignment="1">
      <alignment horizontal="center" vertical="top"/>
    </xf>
    <xf numFmtId="0" fontId="5" fillId="0" borderId="2" xfId="0" applyFont="1" applyFill="1" applyBorder="1" applyAlignment="1">
      <alignment horizontal="left" vertical="top" wrapText="1"/>
    </xf>
    <xf numFmtId="4" fontId="8" fillId="0" borderId="1" xfId="0" applyNumberFormat="1" applyFont="1" applyFill="1" applyBorder="1" applyAlignment="1">
      <alignment horizontal="center" vertical="top"/>
    </xf>
    <xf numFmtId="3" fontId="8" fillId="0" borderId="1" xfId="0" applyNumberFormat="1" applyFont="1" applyFill="1" applyBorder="1" applyAlignment="1">
      <alignment horizontal="center" vertical="top"/>
    </xf>
    <xf numFmtId="0" fontId="44" fillId="0" borderId="0" xfId="0" applyFont="1" applyFill="1" applyAlignment="1">
      <alignment vertical="top" wrapText="1"/>
    </xf>
    <xf numFmtId="0" fontId="8" fillId="0" borderId="0" xfId="0" applyFont="1" applyFill="1" applyAlignment="1">
      <alignment vertical="top"/>
    </xf>
    <xf numFmtId="0" fontId="10" fillId="0" borderId="2" xfId="0" applyFont="1" applyFill="1" applyBorder="1" applyAlignment="1">
      <alignment horizontal="left" vertical="top" wrapText="1"/>
    </xf>
    <xf numFmtId="1" fontId="8" fillId="0" borderId="1" xfId="0" applyNumberFormat="1" applyFont="1" applyFill="1" applyBorder="1" applyAlignment="1">
      <alignment horizontal="center" vertical="top"/>
    </xf>
    <xf numFmtId="49" fontId="22" fillId="0" borderId="4" xfId="0" applyNumberFormat="1" applyFont="1" applyFill="1" applyBorder="1" applyAlignment="1">
      <alignment horizontal="center" vertical="top"/>
    </xf>
    <xf numFmtId="0" fontId="24" fillId="0" borderId="2" xfId="0" applyFont="1" applyFill="1" applyBorder="1" applyAlignment="1">
      <alignment horizontal="left" vertical="top" wrapText="1"/>
    </xf>
    <xf numFmtId="4" fontId="2" fillId="0" borderId="1" xfId="0" applyNumberFormat="1" applyFont="1" applyFill="1" applyBorder="1" applyAlignment="1">
      <alignment horizontal="center" vertical="top"/>
    </xf>
    <xf numFmtId="0" fontId="34" fillId="0" borderId="1" xfId="0" applyFont="1" applyFill="1" applyBorder="1" applyAlignment="1">
      <alignment vertical="center" wrapText="1"/>
    </xf>
    <xf numFmtId="0" fontId="35" fillId="0" borderId="1" xfId="0" applyFont="1" applyFill="1" applyBorder="1" applyAlignment="1">
      <alignment horizontal="center" vertical="top" wrapText="1"/>
    </xf>
    <xf numFmtId="0" fontId="34" fillId="0" borderId="1" xfId="0" applyFont="1" applyFill="1" applyBorder="1" applyAlignment="1">
      <alignment vertical="top" wrapText="1"/>
    </xf>
    <xf numFmtId="0" fontId="22" fillId="0" borderId="0" xfId="0" applyFont="1" applyFill="1" applyAlignment="1">
      <alignment vertical="top"/>
    </xf>
    <xf numFmtId="1" fontId="2" fillId="0" borderId="1" xfId="0" applyNumberFormat="1" applyFont="1" applyFill="1" applyBorder="1" applyAlignment="1">
      <alignment horizontal="center" vertical="top"/>
    </xf>
    <xf numFmtId="49" fontId="22" fillId="0" borderId="3" xfId="0" applyNumberFormat="1" applyFont="1" applyFill="1" applyBorder="1" applyAlignment="1">
      <alignment horizontal="center" vertical="top"/>
    </xf>
    <xf numFmtId="0" fontId="34" fillId="0" borderId="2" xfId="0" applyFont="1" applyFill="1" applyBorder="1" applyAlignment="1">
      <alignment vertical="center" wrapText="1"/>
    </xf>
    <xf numFmtId="166" fontId="2" fillId="0" borderId="2" xfId="0" applyNumberFormat="1" applyFont="1" applyFill="1" applyBorder="1" applyAlignment="1">
      <alignment horizontal="center" vertical="top"/>
    </xf>
    <xf numFmtId="0" fontId="33" fillId="0" borderId="0" xfId="1" applyFill="1" applyAlignment="1">
      <alignment vertical="top" wrapText="1"/>
    </xf>
    <xf numFmtId="0" fontId="34" fillId="0" borderId="2" xfId="0" applyFont="1" applyFill="1" applyBorder="1" applyAlignment="1">
      <alignment vertical="top" wrapText="1"/>
    </xf>
    <xf numFmtId="2" fontId="36" fillId="0" borderId="1" xfId="0" applyNumberFormat="1" applyFont="1" applyFill="1" applyBorder="1" applyAlignment="1">
      <alignment horizontal="center" vertical="top" wrapText="1"/>
    </xf>
    <xf numFmtId="2" fontId="2" fillId="0" borderId="2" xfId="0" applyNumberFormat="1" applyFont="1" applyFill="1" applyBorder="1" applyAlignment="1">
      <alignment horizontal="center" vertical="top"/>
    </xf>
    <xf numFmtId="49" fontId="22" fillId="0" borderId="5" xfId="0" applyNumberFormat="1" applyFont="1" applyFill="1" applyBorder="1" applyAlignment="1">
      <alignment horizontal="center" vertical="top"/>
    </xf>
    <xf numFmtId="1" fontId="2" fillId="0" borderId="1" xfId="0" applyNumberFormat="1" applyFont="1" applyFill="1" applyBorder="1" applyAlignment="1">
      <alignment horizontal="center" vertical="top" wrapText="1"/>
    </xf>
    <xf numFmtId="0" fontId="44" fillId="0" borderId="0" xfId="1" applyFont="1" applyFill="1" applyAlignment="1">
      <alignment vertical="top" wrapText="1"/>
    </xf>
    <xf numFmtId="0" fontId="0" fillId="0" borderId="0" xfId="0" applyFont="1" applyFill="1"/>
    <xf numFmtId="0" fontId="2" fillId="0" borderId="2" xfId="0" applyFont="1" applyFill="1" applyBorder="1" applyAlignment="1">
      <alignment horizontal="left" vertical="top" wrapText="1"/>
    </xf>
    <xf numFmtId="4" fontId="8" fillId="0" borderId="2" xfId="0" applyNumberFormat="1" applyFont="1" applyFill="1" applyBorder="1" applyAlignment="1">
      <alignment horizontal="center" vertical="top"/>
    </xf>
    <xf numFmtId="166" fontId="2" fillId="0" borderId="1" xfId="0" applyNumberFormat="1" applyFont="1" applyFill="1" applyBorder="1" applyAlignment="1">
      <alignment horizontal="center" vertical="top"/>
    </xf>
    <xf numFmtId="0" fontId="8" fillId="0" borderId="1" xfId="0" applyFont="1" applyFill="1" applyBorder="1" applyAlignment="1">
      <alignment vertical="top"/>
    </xf>
    <xf numFmtId="1" fontId="8" fillId="0" borderId="2" xfId="0" applyNumberFormat="1" applyFont="1" applyFill="1" applyBorder="1" applyAlignment="1">
      <alignment horizontal="center" vertical="top"/>
    </xf>
    <xf numFmtId="0" fontId="24" fillId="0" borderId="1" xfId="0" applyFont="1" applyFill="1" applyBorder="1" applyAlignment="1">
      <alignment horizontal="center" vertical="top" wrapText="1"/>
    </xf>
    <xf numFmtId="0" fontId="8" fillId="0" borderId="2" xfId="0" applyFont="1" applyFill="1" applyBorder="1" applyAlignment="1">
      <alignment vertical="top" wrapText="1"/>
    </xf>
    <xf numFmtId="0" fontId="35" fillId="0" borderId="2" xfId="0" applyFont="1" applyFill="1" applyBorder="1" applyAlignment="1">
      <alignment horizontal="left" vertical="top" wrapText="1"/>
    </xf>
    <xf numFmtId="49" fontId="24" fillId="0" borderId="3" xfId="0" applyNumberFormat="1" applyFont="1" applyFill="1" applyBorder="1" applyAlignment="1">
      <alignment horizontal="center" vertical="top" wrapText="1"/>
    </xf>
    <xf numFmtId="49" fontId="24" fillId="0" borderId="4" xfId="0" applyNumberFormat="1" applyFont="1" applyFill="1" applyBorder="1" applyAlignment="1">
      <alignment horizontal="center" vertical="top" wrapText="1"/>
    </xf>
    <xf numFmtId="0" fontId="35" fillId="0" borderId="2" xfId="0" applyFont="1" applyFill="1" applyBorder="1" applyAlignment="1">
      <alignment vertical="top" wrapText="1"/>
    </xf>
    <xf numFmtId="49" fontId="24" fillId="0" borderId="5" xfId="0" applyNumberFormat="1" applyFont="1" applyFill="1" applyBorder="1" applyAlignment="1">
      <alignment horizontal="center" vertical="top" wrapText="1"/>
    </xf>
    <xf numFmtId="0" fontId="2" fillId="0" borderId="2" xfId="0" applyFont="1" applyFill="1" applyBorder="1" applyAlignment="1">
      <alignment horizontal="center" vertical="top" wrapText="1"/>
    </xf>
    <xf numFmtId="49" fontId="5" fillId="0" borderId="3" xfId="0" applyNumberFormat="1" applyFont="1" applyFill="1" applyBorder="1" applyAlignment="1">
      <alignment horizontal="center" vertical="top" wrapText="1"/>
    </xf>
    <xf numFmtId="49" fontId="5" fillId="0" borderId="4" xfId="0" applyNumberFormat="1" applyFont="1" applyFill="1" applyBorder="1" applyAlignment="1">
      <alignment horizontal="center" vertical="top" wrapText="1"/>
    </xf>
    <xf numFmtId="49" fontId="5" fillId="0" borderId="5"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49" fontId="2" fillId="0" borderId="4" xfId="0" applyNumberFormat="1" applyFont="1" applyFill="1" applyBorder="1" applyAlignment="1">
      <alignment horizontal="center" vertical="top"/>
    </xf>
    <xf numFmtId="49" fontId="24" fillId="0" borderId="4" xfId="0" applyNumberFormat="1" applyFont="1" applyFill="1" applyBorder="1" applyAlignment="1">
      <alignment horizontal="center" vertical="top"/>
    </xf>
    <xf numFmtId="49" fontId="2" fillId="0" borderId="5" xfId="0" applyNumberFormat="1" applyFont="1" applyFill="1" applyBorder="1" applyAlignment="1">
      <alignment horizontal="center" vertical="top"/>
    </xf>
    <xf numFmtId="49" fontId="2" fillId="0" borderId="3" xfId="0" applyNumberFormat="1" applyFont="1" applyFill="1" applyBorder="1" applyAlignment="1">
      <alignment horizontal="center" vertical="top"/>
    </xf>
    <xf numFmtId="4" fontId="2" fillId="0" borderId="2" xfId="0" applyNumberFormat="1" applyFont="1" applyFill="1" applyBorder="1" applyAlignment="1">
      <alignment horizontal="center" vertical="top"/>
    </xf>
    <xf numFmtId="0" fontId="35" fillId="0" borderId="2" xfId="0" applyFont="1" applyFill="1" applyBorder="1" applyAlignment="1">
      <alignment vertical="center" wrapText="1"/>
    </xf>
    <xf numFmtId="0" fontId="2" fillId="0" borderId="2" xfId="0" applyFont="1" applyFill="1" applyBorder="1" applyAlignment="1">
      <alignment horizontal="center" vertical="top"/>
    </xf>
    <xf numFmtId="169" fontId="2" fillId="0" borderId="2" xfId="0" applyNumberFormat="1" applyFont="1" applyFill="1" applyBorder="1" applyAlignment="1">
      <alignment horizontal="center" vertical="top"/>
    </xf>
    <xf numFmtId="0" fontId="45" fillId="0" borderId="0" xfId="0" applyFont="1" applyFill="1" applyAlignment="1">
      <alignment vertical="top" wrapText="1"/>
    </xf>
    <xf numFmtId="0" fontId="35" fillId="0" borderId="0" xfId="0" applyFont="1" applyFill="1"/>
    <xf numFmtId="2" fontId="2" fillId="0" borderId="1" xfId="0" applyNumberFormat="1" applyFont="1" applyFill="1" applyBorder="1" applyAlignment="1">
      <alignment horizontal="center" vertical="top"/>
    </xf>
    <xf numFmtId="49" fontId="24" fillId="0" borderId="3" xfId="0" applyNumberFormat="1" applyFont="1" applyFill="1" applyBorder="1" applyAlignment="1">
      <alignment horizontal="center" vertical="top"/>
    </xf>
    <xf numFmtId="49" fontId="8" fillId="0" borderId="4" xfId="0" applyNumberFormat="1" applyFont="1" applyFill="1" applyBorder="1" applyAlignment="1">
      <alignment horizontal="center" vertical="top"/>
    </xf>
    <xf numFmtId="0" fontId="5" fillId="0" borderId="10" xfId="0" applyFont="1" applyFill="1" applyBorder="1" applyAlignment="1">
      <alignment horizontal="left" vertical="top" wrapText="1"/>
    </xf>
    <xf numFmtId="4" fontId="8" fillId="0" borderId="3" xfId="0" applyNumberFormat="1" applyFont="1" applyFill="1" applyBorder="1" applyAlignment="1">
      <alignment horizontal="center" vertical="top"/>
    </xf>
    <xf numFmtId="3" fontId="8" fillId="0" borderId="3" xfId="0" applyNumberFormat="1" applyFont="1" applyFill="1" applyBorder="1" applyAlignment="1">
      <alignment horizontal="center" vertical="top"/>
    </xf>
    <xf numFmtId="0" fontId="8" fillId="0" borderId="3" xfId="0" applyFont="1" applyFill="1" applyBorder="1" applyAlignment="1">
      <alignment vertical="top" wrapText="1"/>
    </xf>
    <xf numFmtId="49" fontId="2" fillId="0" borderId="1" xfId="0" applyNumberFormat="1" applyFont="1" applyFill="1" applyBorder="1" applyAlignment="1">
      <alignment horizontal="center" vertical="top"/>
    </xf>
    <xf numFmtId="4" fontId="3" fillId="0" borderId="3" xfId="0" applyNumberFormat="1" applyFont="1" applyFill="1" applyBorder="1" applyAlignment="1">
      <alignment horizontal="right" vertical="top" wrapText="1"/>
    </xf>
    <xf numFmtId="2" fontId="3" fillId="0" borderId="3" xfId="0" applyNumberFormat="1" applyFont="1" applyFill="1" applyBorder="1" applyAlignment="1">
      <alignment horizontal="right" vertical="top" wrapText="1"/>
    </xf>
    <xf numFmtId="4" fontId="26" fillId="0" borderId="3" xfId="0" applyNumberFormat="1" applyFont="1" applyFill="1" applyBorder="1" applyAlignment="1">
      <alignment horizontal="right" vertical="top" wrapText="1"/>
    </xf>
    <xf numFmtId="0" fontId="8" fillId="0" borderId="0" xfId="0" applyFont="1" applyFill="1" applyBorder="1" applyAlignment="1">
      <alignment vertical="top" wrapText="1"/>
    </xf>
    <xf numFmtId="0" fontId="8" fillId="0" borderId="0" xfId="0" applyFont="1" applyFill="1" applyAlignment="1">
      <alignment vertical="top" wrapText="1"/>
    </xf>
    <xf numFmtId="0" fontId="5" fillId="4" borderId="2" xfId="0" applyFont="1" applyFill="1" applyBorder="1" applyAlignment="1">
      <alignment horizontal="left" vertical="top" wrapText="1"/>
    </xf>
    <xf numFmtId="0" fontId="24" fillId="4" borderId="2" xfId="0" applyFont="1" applyFill="1" applyBorder="1" applyAlignment="1">
      <alignment horizontal="left" vertical="top" wrapText="1"/>
    </xf>
    <xf numFmtId="49" fontId="5" fillId="4" borderId="1" xfId="0" applyNumberFormat="1" applyFont="1" applyFill="1" applyBorder="1" applyAlignment="1">
      <alignment horizontal="center" vertical="top" wrapText="1"/>
    </xf>
    <xf numFmtId="0" fontId="5" fillId="4" borderId="1" xfId="0" applyFont="1" applyFill="1" applyBorder="1" applyAlignment="1">
      <alignment horizontal="center" vertical="top" wrapText="1"/>
    </xf>
    <xf numFmtId="3" fontId="5" fillId="4" borderId="1" xfId="0" applyNumberFormat="1" applyFont="1" applyFill="1" applyBorder="1" applyAlignment="1">
      <alignment horizontal="center" vertical="top" wrapText="1"/>
    </xf>
    <xf numFmtId="49" fontId="21" fillId="4" borderId="4" xfId="0" applyNumberFormat="1" applyFont="1" applyFill="1" applyBorder="1" applyAlignment="1">
      <alignment horizontal="center" vertical="top" wrapText="1"/>
    </xf>
    <xf numFmtId="49" fontId="22" fillId="4" borderId="6" xfId="0" applyNumberFormat="1" applyFont="1" applyFill="1" applyBorder="1" applyAlignment="1">
      <alignment horizontal="center" vertical="top"/>
    </xf>
    <xf numFmtId="167" fontId="8" fillId="0" borderId="1" xfId="0" applyNumberFormat="1" applyFont="1" applyFill="1" applyBorder="1" applyAlignment="1">
      <alignment horizontal="center" vertical="top"/>
    </xf>
    <xf numFmtId="169" fontId="2" fillId="0" borderId="1" xfId="0" applyNumberFormat="1" applyFont="1" applyFill="1" applyBorder="1" applyAlignment="1">
      <alignment horizontal="center" vertical="top"/>
    </xf>
    <xf numFmtId="49" fontId="8" fillId="0" borderId="0" xfId="0" applyNumberFormat="1" applyFont="1" applyFill="1" applyAlignment="1">
      <alignment horizontal="center" vertical="top"/>
    </xf>
    <xf numFmtId="0" fontId="8" fillId="0" borderId="0" xfId="0" applyFont="1" applyFill="1" applyAlignment="1">
      <alignment horizontal="left" vertical="top"/>
    </xf>
    <xf numFmtId="0" fontId="8" fillId="0" borderId="0" xfId="0" applyFont="1" applyFill="1" applyAlignment="1">
      <alignment horizontal="center" vertical="top"/>
    </xf>
    <xf numFmtId="3" fontId="8" fillId="0" borderId="0" xfId="0" applyNumberFormat="1" applyFont="1" applyFill="1" applyAlignment="1">
      <alignment horizontal="center" vertical="top"/>
    </xf>
    <xf numFmtId="2" fontId="8" fillId="4" borderId="2" xfId="0" applyNumberFormat="1" applyFont="1" applyFill="1" applyBorder="1" applyAlignment="1">
      <alignment horizontal="center" vertical="top"/>
    </xf>
    <xf numFmtId="0" fontId="25" fillId="0" borderId="1" xfId="0" applyFont="1" applyFill="1" applyBorder="1" applyAlignment="1">
      <alignment horizontal="center" vertical="top"/>
    </xf>
    <xf numFmtId="166" fontId="2" fillId="0" borderId="3" xfId="0" applyNumberFormat="1" applyFont="1" applyFill="1" applyBorder="1" applyAlignment="1">
      <alignment horizontal="center" vertical="top"/>
    </xf>
    <xf numFmtId="167" fontId="8" fillId="0" borderId="0" xfId="0" applyNumberFormat="1" applyFont="1" applyFill="1" applyAlignment="1">
      <alignment horizontal="right" vertical="top" wrapText="1"/>
    </xf>
    <xf numFmtId="0" fontId="2" fillId="0" borderId="12" xfId="0" applyFont="1" applyFill="1" applyBorder="1" applyAlignment="1">
      <alignment horizontal="center" vertical="top" wrapText="1"/>
    </xf>
    <xf numFmtId="1" fontId="2" fillId="0" borderId="2" xfId="0" applyNumberFormat="1" applyFont="1" applyFill="1" applyBorder="1" applyAlignment="1">
      <alignment horizontal="center" vertical="top" wrapText="1"/>
    </xf>
    <xf numFmtId="167" fontId="2" fillId="0" borderId="3" xfId="0" applyNumberFormat="1" applyFont="1" applyFill="1" applyBorder="1" applyAlignment="1">
      <alignment horizontal="center" vertical="top"/>
    </xf>
    <xf numFmtId="0" fontId="27" fillId="0" borderId="0" xfId="0" applyFont="1" applyFill="1" applyAlignment="1">
      <alignment vertical="top"/>
    </xf>
    <xf numFmtId="0" fontId="49" fillId="0" borderId="0" xfId="0" applyFont="1" applyFill="1" applyAlignment="1">
      <alignment vertical="top" wrapText="1"/>
    </xf>
    <xf numFmtId="0" fontId="50" fillId="0" borderId="0" xfId="0" applyFont="1" applyFill="1"/>
    <xf numFmtId="0" fontId="28" fillId="0" borderId="0" xfId="0" applyFont="1" applyFill="1" applyAlignment="1">
      <alignment vertical="top"/>
    </xf>
    <xf numFmtId="0" fontId="8" fillId="4" borderId="2" xfId="0" applyFont="1" applyFill="1" applyBorder="1" applyAlignment="1">
      <alignment vertical="top" wrapText="1"/>
    </xf>
    <xf numFmtId="0" fontId="24" fillId="4" borderId="1" xfId="0" applyFont="1" applyFill="1" applyBorder="1" applyAlignment="1">
      <alignment horizontal="left" vertical="top" wrapText="1"/>
    </xf>
    <xf numFmtId="0" fontId="5" fillId="4" borderId="2" xfId="0" applyFont="1" applyFill="1" applyBorder="1" applyAlignment="1">
      <alignment horizontal="left" vertical="top" wrapText="1"/>
    </xf>
    <xf numFmtId="0" fontId="51" fillId="0" borderId="1" xfId="0" applyFont="1" applyFill="1" applyBorder="1" applyAlignment="1">
      <alignment horizontal="center" vertical="top" wrapText="1"/>
    </xf>
    <xf numFmtId="166" fontId="51" fillId="0" borderId="1" xfId="0" applyNumberFormat="1" applyFont="1" applyFill="1" applyBorder="1" applyAlignment="1">
      <alignment horizontal="center" vertical="top" wrapText="1"/>
    </xf>
    <xf numFmtId="0" fontId="2" fillId="0" borderId="9"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4" fontId="52" fillId="0" borderId="1" xfId="0" applyNumberFormat="1" applyFont="1" applyFill="1" applyBorder="1" applyAlignment="1">
      <alignment horizontal="right" vertical="top" wrapText="1"/>
    </xf>
    <xf numFmtId="2" fontId="53" fillId="0" borderId="1" xfId="0" applyNumberFormat="1" applyFont="1" applyFill="1" applyBorder="1" applyAlignment="1">
      <alignment horizontal="right" vertical="top" wrapText="1"/>
    </xf>
    <xf numFmtId="4" fontId="53" fillId="0" borderId="1" xfId="0" applyNumberFormat="1" applyFont="1" applyFill="1" applyBorder="1" applyAlignment="1">
      <alignment horizontal="right" vertical="top" wrapText="1"/>
    </xf>
    <xf numFmtId="4" fontId="53" fillId="0" borderId="3" xfId="0" applyNumberFormat="1" applyFont="1" applyFill="1" applyBorder="1" applyAlignment="1">
      <alignment horizontal="right" vertical="top" wrapText="1"/>
    </xf>
    <xf numFmtId="4" fontId="53" fillId="0" borderId="9" xfId="0" applyNumberFormat="1" applyFont="1" applyFill="1" applyBorder="1" applyAlignment="1">
      <alignment horizontal="right" vertical="top" wrapText="1"/>
    </xf>
    <xf numFmtId="4" fontId="52" fillId="0" borderId="5" xfId="0" applyNumberFormat="1" applyFont="1" applyFill="1" applyBorder="1" applyAlignment="1">
      <alignment horizontal="right" vertical="top" wrapText="1"/>
    </xf>
    <xf numFmtId="4" fontId="53" fillId="0" borderId="4" xfId="0" applyNumberFormat="1" applyFont="1" applyFill="1" applyBorder="1" applyAlignment="1">
      <alignment horizontal="right" vertical="top" wrapText="1"/>
    </xf>
    <xf numFmtId="0" fontId="2" fillId="4" borderId="1" xfId="0" applyFont="1" applyFill="1" applyBorder="1" applyAlignment="1">
      <alignment vertical="top" wrapText="1"/>
    </xf>
    <xf numFmtId="0" fontId="2" fillId="0" borderId="1" xfId="0" applyFont="1" applyFill="1" applyBorder="1" applyAlignment="1">
      <alignment vertical="top" wrapText="1"/>
    </xf>
    <xf numFmtId="3" fontId="2" fillId="0" borderId="2" xfId="0" applyNumberFormat="1" applyFont="1" applyFill="1" applyBorder="1" applyAlignment="1">
      <alignment horizontal="center" vertical="top"/>
    </xf>
    <xf numFmtId="0" fontId="5" fillId="4" borderId="2" xfId="0" applyFont="1" applyFill="1" applyBorder="1" applyAlignment="1">
      <alignment vertical="top" wrapText="1"/>
    </xf>
    <xf numFmtId="0" fontId="5" fillId="0" borderId="2" xfId="0" applyFont="1" applyFill="1" applyBorder="1" applyAlignment="1">
      <alignment vertical="top" wrapText="1"/>
    </xf>
    <xf numFmtId="0" fontId="24" fillId="0" borderId="1" xfId="0" applyFont="1" applyFill="1" applyBorder="1" applyAlignment="1">
      <alignment horizontal="center" vertical="top"/>
    </xf>
    <xf numFmtId="0" fontId="24" fillId="4" borderId="1" xfId="0" applyFont="1" applyFill="1" applyBorder="1" applyAlignment="1">
      <alignment vertical="top" wrapText="1"/>
    </xf>
    <xf numFmtId="0" fontId="25" fillId="0" borderId="1" xfId="0" applyFont="1" applyFill="1" applyBorder="1" applyAlignment="1">
      <alignment horizontal="center" vertical="top" wrapText="1"/>
    </xf>
    <xf numFmtId="0" fontId="25" fillId="4" borderId="1" xfId="0" applyFont="1" applyFill="1" applyBorder="1" applyAlignment="1">
      <alignment vertical="top" wrapText="1"/>
    </xf>
    <xf numFmtId="0" fontId="2" fillId="0" borderId="3" xfId="0" applyFont="1" applyFill="1" applyBorder="1" applyAlignment="1">
      <alignment vertical="top" wrapText="1"/>
    </xf>
    <xf numFmtId="0" fontId="2" fillId="4" borderId="3" xfId="0" applyFont="1" applyFill="1" applyBorder="1" applyAlignment="1">
      <alignment vertical="top" wrapText="1"/>
    </xf>
    <xf numFmtId="0" fontId="5" fillId="0" borderId="1" xfId="0" applyFont="1" applyFill="1" applyBorder="1" applyAlignment="1">
      <alignment vertical="center" wrapText="1"/>
    </xf>
    <xf numFmtId="0" fontId="5" fillId="4" borderId="1" xfId="0" applyFont="1" applyFill="1" applyBorder="1" applyAlignment="1">
      <alignment vertical="center" wrapText="1"/>
    </xf>
    <xf numFmtId="0" fontId="27" fillId="0" borderId="0" xfId="0" applyFont="1" applyFill="1" applyAlignment="1">
      <alignment horizontal="left" vertical="top"/>
    </xf>
    <xf numFmtId="0" fontId="27" fillId="0" borderId="0" xfId="0" applyFont="1" applyFill="1" applyAlignment="1">
      <alignment horizontal="center" vertical="top"/>
    </xf>
    <xf numFmtId="0" fontId="28" fillId="0" borderId="0" xfId="0" applyFont="1" applyFill="1" applyAlignment="1">
      <alignment horizontal="left" vertical="top"/>
    </xf>
    <xf numFmtId="0" fontId="28" fillId="0" borderId="0" xfId="0" applyFont="1" applyFill="1" applyAlignment="1">
      <alignment horizontal="center" vertical="top"/>
    </xf>
    <xf numFmtId="0" fontId="8" fillId="0" borderId="0" xfId="0" applyFont="1" applyFill="1" applyAlignment="1">
      <alignment horizontal="center" vertical="top" wrapText="1"/>
    </xf>
    <xf numFmtId="49" fontId="8" fillId="0" borderId="0" xfId="0" applyNumberFormat="1" applyFont="1" applyFill="1" applyAlignment="1">
      <alignment horizontal="center" vertical="top" wrapText="1"/>
    </xf>
    <xf numFmtId="49" fontId="2" fillId="0" borderId="1" xfId="0" applyNumberFormat="1"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Alignment="1">
      <alignment vertical="top" wrapText="1"/>
    </xf>
    <xf numFmtId="49" fontId="52" fillId="0" borderId="1" xfId="0" applyNumberFormat="1" applyFont="1" applyFill="1" applyBorder="1" applyAlignment="1">
      <alignment horizontal="center" vertical="top" wrapText="1"/>
    </xf>
    <xf numFmtId="0" fontId="52" fillId="0" borderId="1" xfId="0" applyFont="1" applyFill="1" applyBorder="1" applyAlignment="1">
      <alignment vertical="top" wrapText="1"/>
    </xf>
    <xf numFmtId="0" fontId="52" fillId="0" borderId="1" xfId="0" applyFont="1" applyFill="1" applyBorder="1" applyAlignment="1">
      <alignment horizontal="center" vertical="top" wrapText="1"/>
    </xf>
    <xf numFmtId="2" fontId="52" fillId="0" borderId="1" xfId="0" applyNumberFormat="1" applyFont="1" applyFill="1" applyBorder="1" applyAlignment="1">
      <alignment horizontal="right" vertical="top" wrapText="1"/>
    </xf>
    <xf numFmtId="0" fontId="52" fillId="0" borderId="0" xfId="0" applyFont="1" applyFill="1" applyBorder="1" applyAlignment="1">
      <alignment vertical="top" wrapText="1"/>
    </xf>
    <xf numFmtId="9" fontId="52" fillId="0" borderId="0" xfId="2" applyFont="1" applyFill="1" applyBorder="1" applyAlignment="1">
      <alignment vertical="top" wrapText="1"/>
    </xf>
    <xf numFmtId="0" fontId="52" fillId="0" borderId="0" xfId="0" applyFont="1" applyFill="1" applyAlignment="1">
      <alignment vertical="top" wrapText="1"/>
    </xf>
    <xf numFmtId="49" fontId="53" fillId="0" borderId="1" xfId="0" applyNumberFormat="1" applyFont="1" applyFill="1" applyBorder="1" applyAlignment="1">
      <alignment horizontal="center" vertical="top" wrapText="1"/>
    </xf>
    <xf numFmtId="0" fontId="53" fillId="0" borderId="1" xfId="0" applyFont="1" applyFill="1" applyBorder="1" applyAlignment="1">
      <alignment vertical="top" wrapText="1"/>
    </xf>
    <xf numFmtId="0" fontId="53" fillId="0" borderId="1" xfId="0" applyFont="1" applyFill="1" applyBorder="1" applyAlignment="1">
      <alignment horizontal="center" vertical="top" wrapText="1"/>
    </xf>
    <xf numFmtId="0" fontId="53" fillId="0" borderId="0" xfId="0" applyFont="1" applyFill="1" applyBorder="1" applyAlignment="1">
      <alignment vertical="top" wrapText="1"/>
    </xf>
    <xf numFmtId="0" fontId="53" fillId="0" borderId="0" xfId="0" applyFont="1" applyFill="1" applyAlignment="1">
      <alignment vertical="top" wrapText="1"/>
    </xf>
    <xf numFmtId="49" fontId="3" fillId="0" borderId="1" xfId="0"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0" xfId="0" applyFont="1" applyFill="1" applyBorder="1" applyAlignment="1">
      <alignment vertical="top" wrapText="1"/>
    </xf>
    <xf numFmtId="0" fontId="3" fillId="0" borderId="0" xfId="0" applyFont="1" applyFill="1" applyAlignment="1">
      <alignment vertical="top" wrapText="1"/>
    </xf>
    <xf numFmtId="0" fontId="3" fillId="0" borderId="1" xfId="0" applyFont="1" applyFill="1" applyBorder="1" applyAlignment="1">
      <alignment vertical="top" wrapText="1"/>
    </xf>
    <xf numFmtId="0" fontId="53" fillId="0" borderId="9" xfId="0" applyFont="1" applyFill="1" applyBorder="1" applyAlignment="1">
      <alignment horizontal="left" vertical="top" wrapText="1"/>
    </xf>
    <xf numFmtId="0" fontId="53" fillId="0" borderId="3" xfId="0" applyFont="1" applyFill="1" applyBorder="1" applyAlignment="1">
      <alignment horizontal="center" vertical="top" wrapText="1"/>
    </xf>
    <xf numFmtId="0" fontId="53" fillId="0" borderId="13" xfId="0" applyFont="1" applyFill="1" applyBorder="1" applyAlignment="1">
      <alignment horizontal="left" vertical="top" wrapText="1"/>
    </xf>
    <xf numFmtId="0" fontId="53" fillId="0" borderId="13"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9" xfId="0" applyFont="1" applyFill="1" applyBorder="1" applyAlignment="1">
      <alignment horizontal="left" vertical="top" wrapText="1"/>
    </xf>
    <xf numFmtId="0" fontId="53" fillId="0" borderId="1" xfId="0" applyFont="1" applyFill="1" applyBorder="1" applyAlignment="1">
      <alignment horizontal="left" vertical="top" wrapText="1"/>
    </xf>
    <xf numFmtId="0" fontId="54" fillId="0" borderId="13" xfId="0" applyFont="1" applyFill="1" applyBorder="1" applyAlignment="1">
      <alignment horizontal="center" vertical="top" wrapText="1"/>
    </xf>
    <xf numFmtId="0" fontId="52" fillId="0" borderId="1" xfId="0" applyFont="1" applyFill="1" applyBorder="1" applyAlignment="1">
      <alignment horizontal="left" vertical="top" wrapText="1"/>
    </xf>
    <xf numFmtId="9" fontId="53" fillId="0" borderId="0" xfId="2" applyFont="1" applyFill="1" applyBorder="1" applyAlignment="1">
      <alignment vertical="top" wrapText="1"/>
    </xf>
    <xf numFmtId="0" fontId="53" fillId="0" borderId="9" xfId="0" applyFont="1" applyFill="1" applyBorder="1" applyAlignment="1">
      <alignment vertical="top" wrapText="1"/>
    </xf>
    <xf numFmtId="0" fontId="3" fillId="0" borderId="9" xfId="0" applyFont="1" applyFill="1" applyBorder="1" applyAlignment="1">
      <alignment vertical="top" wrapText="1"/>
    </xf>
    <xf numFmtId="49" fontId="53" fillId="0" borderId="3" xfId="0" applyNumberFormat="1" applyFont="1" applyFill="1" applyBorder="1" applyAlignment="1">
      <alignment horizontal="center" vertical="top" wrapText="1"/>
    </xf>
    <xf numFmtId="0" fontId="53" fillId="0" borderId="3" xfId="0" applyFont="1" applyFill="1" applyBorder="1" applyAlignment="1">
      <alignment vertical="top" wrapText="1"/>
    </xf>
    <xf numFmtId="0" fontId="3" fillId="0" borderId="0" xfId="0" applyFont="1" applyFill="1" applyBorder="1"/>
    <xf numFmtId="9" fontId="3" fillId="0" borderId="0" xfId="2" applyFont="1" applyFill="1" applyBorder="1" applyAlignment="1">
      <alignment vertical="top" wrapText="1"/>
    </xf>
    <xf numFmtId="49" fontId="52" fillId="0" borderId="5" xfId="0" applyNumberFormat="1" applyFont="1" applyFill="1" applyBorder="1" applyAlignment="1">
      <alignment horizontal="center" vertical="top" wrapText="1"/>
    </xf>
    <xf numFmtId="0" fontId="52" fillId="0" borderId="5" xfId="0" applyFont="1" applyFill="1" applyBorder="1" applyAlignment="1">
      <alignment vertical="top" wrapText="1"/>
    </xf>
    <xf numFmtId="0" fontId="52" fillId="0" borderId="5" xfId="0" applyFont="1" applyFill="1" applyBorder="1" applyAlignment="1">
      <alignment horizontal="center" vertical="top" wrapText="1"/>
    </xf>
    <xf numFmtId="0" fontId="26" fillId="0" borderId="1" xfId="0" applyFont="1" applyFill="1" applyBorder="1" applyAlignment="1">
      <alignment vertical="top" wrapText="1"/>
    </xf>
    <xf numFmtId="0" fontId="26" fillId="0" borderId="1" xfId="0" applyFont="1" applyFill="1" applyBorder="1" applyAlignment="1">
      <alignment horizontal="center" vertical="top" wrapText="1"/>
    </xf>
    <xf numFmtId="0" fontId="53" fillId="0" borderId="0" xfId="0" applyFont="1" applyFill="1" applyBorder="1" applyAlignment="1">
      <alignment horizontal="right" vertical="top" wrapText="1"/>
    </xf>
    <xf numFmtId="0" fontId="26" fillId="0" borderId="9" xfId="0" applyFont="1" applyFill="1" applyBorder="1" applyAlignment="1">
      <alignment vertical="top" wrapText="1"/>
    </xf>
    <xf numFmtId="0" fontId="2" fillId="0" borderId="0" xfId="0" applyFont="1" applyFill="1" applyBorder="1" applyAlignment="1">
      <alignment horizontal="right" vertical="top" wrapText="1"/>
    </xf>
    <xf numFmtId="49" fontId="26" fillId="0" borderId="1" xfId="0" applyNumberFormat="1" applyFont="1" applyFill="1" applyBorder="1" applyAlignment="1">
      <alignment horizontal="center" vertical="top" wrapText="1"/>
    </xf>
    <xf numFmtId="0" fontId="26" fillId="0" borderId="0" xfId="0" applyFont="1" applyFill="1" applyBorder="1" applyAlignment="1">
      <alignment vertical="top" wrapText="1"/>
    </xf>
    <xf numFmtId="9" fontId="26" fillId="0" borderId="0" xfId="2" applyFont="1" applyFill="1" applyBorder="1" applyAlignment="1">
      <alignment vertical="top" wrapText="1"/>
    </xf>
    <xf numFmtId="0" fontId="26" fillId="0" borderId="0" xfId="0" applyFont="1" applyFill="1" applyAlignment="1">
      <alignment vertical="top" wrapText="1"/>
    </xf>
    <xf numFmtId="4" fontId="3" fillId="0" borderId="0" xfId="0" applyNumberFormat="1" applyFont="1" applyFill="1" applyBorder="1" applyAlignment="1">
      <alignment vertical="top" wrapText="1"/>
    </xf>
    <xf numFmtId="4" fontId="8" fillId="0" borderId="0" xfId="0" applyNumberFormat="1" applyFont="1" applyFill="1" applyAlignment="1">
      <alignment vertical="top" wrapText="1"/>
    </xf>
    <xf numFmtId="168" fontId="2" fillId="0" borderId="1" xfId="0" applyNumberFormat="1" applyFont="1" applyFill="1" applyBorder="1" applyAlignment="1">
      <alignment horizontal="center" vertical="top"/>
    </xf>
    <xf numFmtId="2" fontId="8" fillId="0" borderId="1" xfId="0" applyNumberFormat="1" applyFont="1" applyFill="1" applyBorder="1" applyAlignment="1">
      <alignment horizontal="center" vertical="top"/>
    </xf>
    <xf numFmtId="2" fontId="2" fillId="0" borderId="2" xfId="2" applyNumberFormat="1" applyFont="1" applyFill="1" applyBorder="1" applyAlignment="1">
      <alignment horizontal="center" vertical="top"/>
    </xf>
    <xf numFmtId="170" fontId="2" fillId="0" borderId="1" xfId="0" applyNumberFormat="1" applyFont="1" applyFill="1" applyBorder="1" applyAlignment="1">
      <alignment horizontal="center" vertical="top" wrapText="1"/>
    </xf>
    <xf numFmtId="170" fontId="2" fillId="0" borderId="1" xfId="0" applyNumberFormat="1" applyFont="1" applyFill="1" applyBorder="1" applyAlignment="1">
      <alignment horizontal="center" vertical="top"/>
    </xf>
    <xf numFmtId="0" fontId="2" fillId="8" borderId="1" xfId="0" applyFont="1" applyFill="1" applyBorder="1" applyAlignment="1">
      <alignment vertical="top" wrapText="1"/>
    </xf>
    <xf numFmtId="170" fontId="2" fillId="4" borderId="1" xfId="0" applyNumberFormat="1" applyFont="1" applyFill="1" applyBorder="1" applyAlignment="1">
      <alignment horizontal="center" vertical="top" wrapText="1"/>
    </xf>
    <xf numFmtId="0" fontId="8" fillId="4" borderId="2" xfId="0" applyFont="1" applyFill="1" applyBorder="1" applyAlignment="1">
      <alignment vertical="center" wrapText="1"/>
    </xf>
    <xf numFmtId="170" fontId="2" fillId="4" borderId="1" xfId="0" applyNumberFormat="1" applyFont="1" applyFill="1" applyBorder="1" applyAlignment="1">
      <alignment horizontal="center" vertical="top"/>
    </xf>
    <xf numFmtId="171" fontId="2" fillId="4" borderId="1" xfId="0" applyNumberFormat="1" applyFont="1" applyFill="1" applyBorder="1" applyAlignment="1">
      <alignment horizontal="center" vertical="top"/>
    </xf>
    <xf numFmtId="170" fontId="2" fillId="0" borderId="7" xfId="0" applyNumberFormat="1" applyFont="1" applyFill="1" applyBorder="1" applyAlignment="1">
      <alignment horizontal="center" vertical="top"/>
    </xf>
    <xf numFmtId="171" fontId="2" fillId="0" borderId="1" xfId="0" applyNumberFormat="1" applyFont="1" applyFill="1" applyBorder="1" applyAlignment="1">
      <alignment horizontal="center" vertical="top" wrapText="1"/>
    </xf>
    <xf numFmtId="171" fontId="2" fillId="0" borderId="1" xfId="0" applyNumberFormat="1" applyFont="1" applyFill="1" applyBorder="1" applyAlignment="1">
      <alignment horizontal="center" vertical="top"/>
    </xf>
    <xf numFmtId="171" fontId="2" fillId="4" borderId="1" xfId="0" applyNumberFormat="1" applyFont="1" applyFill="1" applyBorder="1" applyAlignment="1">
      <alignment horizontal="center" vertical="top" wrapText="1"/>
    </xf>
    <xf numFmtId="171" fontId="2" fillId="4" borderId="3" xfId="0" applyNumberFormat="1" applyFont="1" applyFill="1" applyBorder="1" applyAlignment="1">
      <alignment horizontal="center" vertical="top"/>
    </xf>
    <xf numFmtId="166" fontId="2" fillId="4" borderId="3" xfId="0" applyNumberFormat="1" applyFont="1" applyFill="1" applyBorder="1" applyAlignment="1">
      <alignment horizontal="center" vertical="top"/>
    </xf>
    <xf numFmtId="0" fontId="24" fillId="4" borderId="2" xfId="0" applyFont="1" applyFill="1" applyBorder="1" applyAlignment="1">
      <alignment horizontal="left" vertical="top" wrapText="1"/>
    </xf>
    <xf numFmtId="0" fontId="38" fillId="4" borderId="2" xfId="0" applyFont="1" applyFill="1" applyBorder="1" applyAlignment="1">
      <alignment vertical="center" wrapText="1"/>
    </xf>
    <xf numFmtId="0" fontId="38" fillId="4" borderId="2" xfId="0" applyFont="1" applyFill="1" applyBorder="1" applyAlignment="1">
      <alignment vertical="top" wrapText="1"/>
    </xf>
    <xf numFmtId="0" fontId="5" fillId="4" borderId="1" xfId="0" applyFont="1" applyFill="1" applyBorder="1" applyAlignment="1">
      <alignment horizontal="left" vertical="top" wrapText="1"/>
    </xf>
    <xf numFmtId="0" fontId="24" fillId="4" borderId="1" xfId="0" applyFont="1" applyFill="1" applyBorder="1" applyAlignment="1">
      <alignment horizontal="left" vertical="top" wrapText="1"/>
    </xf>
    <xf numFmtId="0" fontId="5" fillId="4" borderId="2" xfId="0" applyFont="1" applyFill="1" applyBorder="1" applyAlignment="1">
      <alignment horizontal="left" vertical="top" wrapText="1"/>
    </xf>
    <xf numFmtId="49" fontId="5" fillId="4" borderId="1" xfId="0" applyNumberFormat="1" applyFont="1" applyFill="1" applyBorder="1" applyAlignment="1">
      <alignment horizontal="center" vertical="top" wrapText="1"/>
    </xf>
    <xf numFmtId="0" fontId="5" fillId="4" borderId="1" xfId="0" applyFont="1" applyFill="1" applyBorder="1" applyAlignment="1">
      <alignment horizontal="center" vertical="top" wrapText="1"/>
    </xf>
    <xf numFmtId="3" fontId="5" fillId="4" borderId="1" xfId="0" applyNumberFormat="1" applyFont="1" applyFill="1" applyBorder="1" applyAlignment="1">
      <alignment horizontal="center" vertical="top" wrapText="1"/>
    </xf>
    <xf numFmtId="3" fontId="44" fillId="0" borderId="0" xfId="0" applyNumberFormat="1" applyFont="1" applyFill="1" applyAlignment="1">
      <alignment vertical="top" wrapText="1"/>
    </xf>
    <xf numFmtId="0" fontId="5" fillId="4" borderId="2" xfId="0" applyFont="1" applyFill="1" applyBorder="1" applyAlignment="1">
      <alignment horizontal="left" vertical="top" wrapText="1"/>
    </xf>
    <xf numFmtId="0" fontId="24" fillId="4" borderId="2" xfId="0" applyFont="1" applyFill="1" applyBorder="1" applyAlignment="1">
      <alignment horizontal="left" vertical="top" wrapText="1"/>
    </xf>
    <xf numFmtId="0" fontId="24" fillId="4" borderId="10" xfId="0" applyFont="1" applyFill="1" applyBorder="1" applyAlignment="1">
      <alignment horizontal="left" vertical="top" wrapText="1"/>
    </xf>
    <xf numFmtId="0" fontId="24" fillId="4" borderId="1" xfId="0" applyFont="1" applyFill="1" applyBorder="1" applyAlignment="1">
      <alignment horizontal="left" vertical="top" wrapText="1"/>
    </xf>
    <xf numFmtId="0" fontId="38" fillId="4" borderId="2" xfId="0" applyFont="1" applyFill="1" applyBorder="1" applyAlignment="1">
      <alignment vertical="center" wrapText="1"/>
    </xf>
    <xf numFmtId="2" fontId="2" fillId="9" borderId="1" xfId="0" applyNumberFormat="1" applyFont="1" applyFill="1" applyBorder="1" applyAlignment="1">
      <alignment horizontal="center" vertical="top" wrapText="1"/>
    </xf>
    <xf numFmtId="49" fontId="5" fillId="4" borderId="1" xfId="0" applyNumberFormat="1" applyFont="1" applyFill="1" applyBorder="1" applyAlignment="1">
      <alignment horizontal="center" vertical="top" wrapText="1"/>
    </xf>
    <xf numFmtId="0" fontId="55" fillId="4" borderId="0" xfId="0" applyFont="1" applyFill="1" applyAlignment="1">
      <alignment vertical="top" wrapText="1"/>
    </xf>
    <xf numFmtId="0" fontId="55" fillId="4" borderId="0" xfId="0" applyFont="1" applyFill="1"/>
    <xf numFmtId="0" fontId="2" fillId="4" borderId="0" xfId="0" applyFont="1" applyFill="1" applyAlignment="1">
      <alignment vertical="top"/>
    </xf>
    <xf numFmtId="0" fontId="55" fillId="0" borderId="0" xfId="1" applyFont="1" applyFill="1" applyAlignment="1">
      <alignment vertical="top" wrapText="1"/>
    </xf>
    <xf numFmtId="0" fontId="55" fillId="0" borderId="0" xfId="0" applyFont="1" applyFill="1"/>
    <xf numFmtId="0" fontId="2" fillId="0" borderId="0" xfId="0" applyFont="1" applyFill="1" applyAlignment="1">
      <alignment vertical="top"/>
    </xf>
    <xf numFmtId="0" fontId="2" fillId="4" borderId="2" xfId="0" applyFont="1" applyFill="1" applyBorder="1" applyAlignment="1">
      <alignment vertical="top" wrapText="1"/>
    </xf>
    <xf numFmtId="0" fontId="2" fillId="4" borderId="2" xfId="0" applyFont="1" applyFill="1" applyBorder="1" applyAlignment="1">
      <alignment vertical="center" wrapText="1"/>
    </xf>
    <xf numFmtId="49" fontId="21" fillId="0" borderId="4" xfId="0" applyNumberFormat="1" applyFont="1" applyFill="1" applyBorder="1" applyAlignment="1">
      <alignment horizontal="center" vertical="top" wrapText="1"/>
    </xf>
    <xf numFmtId="3" fontId="32" fillId="0" borderId="0" xfId="0" applyNumberFormat="1" applyFont="1" applyFill="1" applyAlignment="1">
      <alignment vertical="top" wrapText="1"/>
    </xf>
    <xf numFmtId="49" fontId="22" fillId="0" borderId="6" xfId="0" applyNumberFormat="1" applyFont="1" applyFill="1" applyBorder="1" applyAlignment="1">
      <alignment horizontal="center" vertical="top"/>
    </xf>
    <xf numFmtId="0" fontId="34" fillId="4" borderId="2" xfId="0" applyFont="1" applyFill="1" applyBorder="1" applyAlignment="1">
      <alignment vertical="center" wrapText="1"/>
    </xf>
    <xf numFmtId="0" fontId="33" fillId="4" borderId="0" xfId="1" applyFill="1" applyAlignment="1">
      <alignment vertical="top" wrapText="1"/>
    </xf>
    <xf numFmtId="3" fontId="2" fillId="4" borderId="2" xfId="0" applyNumberFormat="1" applyFont="1" applyFill="1" applyBorder="1" applyAlignment="1">
      <alignment horizontal="center" vertical="top"/>
    </xf>
    <xf numFmtId="2" fontId="2" fillId="4" borderId="2" xfId="2" applyNumberFormat="1" applyFont="1" applyFill="1" applyBorder="1" applyAlignment="1">
      <alignment horizontal="center" vertical="top"/>
    </xf>
    <xf numFmtId="172" fontId="2" fillId="4" borderId="1" xfId="0" applyNumberFormat="1" applyFont="1" applyFill="1" applyBorder="1" applyAlignment="1">
      <alignment horizontal="center" vertical="top" wrapText="1"/>
    </xf>
    <xf numFmtId="0" fontId="44" fillId="4" borderId="0" xfId="1" applyFont="1" applyFill="1" applyAlignment="1">
      <alignment vertical="top" wrapText="1"/>
    </xf>
    <xf numFmtId="0" fontId="35" fillId="4" borderId="2" xfId="0" applyFont="1" applyFill="1" applyBorder="1" applyAlignment="1">
      <alignment horizontal="left" vertical="top" wrapText="1"/>
    </xf>
    <xf numFmtId="0" fontId="55" fillId="4" borderId="0" xfId="1" applyFont="1" applyFill="1" applyAlignment="1">
      <alignment vertical="top" wrapText="1"/>
    </xf>
    <xf numFmtId="0" fontId="55" fillId="0" borderId="0" xfId="0" applyFont="1" applyFill="1" applyAlignment="1">
      <alignment vertical="top" wrapText="1"/>
    </xf>
    <xf numFmtId="0" fontId="24" fillId="0" borderId="0" xfId="0" applyFont="1" applyFill="1" applyAlignment="1">
      <alignment vertical="top"/>
    </xf>
    <xf numFmtId="172" fontId="2" fillId="0" borderId="1" xfId="0" applyNumberFormat="1" applyFont="1" applyFill="1" applyBorder="1" applyAlignment="1">
      <alignment horizontal="center" vertical="top"/>
    </xf>
    <xf numFmtId="0" fontId="25" fillId="0" borderId="1" xfId="0" applyFont="1" applyFill="1" applyBorder="1" applyAlignment="1">
      <alignment vertical="top" wrapText="1"/>
    </xf>
    <xf numFmtId="0" fontId="38" fillId="0" borderId="2" xfId="0" applyFont="1" applyFill="1" applyBorder="1" applyAlignment="1">
      <alignment vertical="top" wrapText="1"/>
    </xf>
    <xf numFmtId="0" fontId="24" fillId="0" borderId="1" xfId="0" applyFont="1" applyFill="1" applyBorder="1" applyAlignment="1">
      <alignment vertical="top" wrapText="1"/>
    </xf>
    <xf numFmtId="0" fontId="46" fillId="0" borderId="0" xfId="0" applyFont="1" applyFill="1" applyAlignment="1">
      <alignment vertical="top" wrapText="1"/>
    </xf>
    <xf numFmtId="0" fontId="38" fillId="0" borderId="0" xfId="0" applyFont="1" applyFill="1"/>
    <xf numFmtId="49" fontId="25" fillId="0" borderId="4" xfId="0" applyNumberFormat="1" applyFont="1" applyFill="1" applyBorder="1" applyAlignment="1">
      <alignment horizontal="center" vertical="top"/>
    </xf>
    <xf numFmtId="0" fontId="47" fillId="0" borderId="0" xfId="0" applyFont="1" applyFill="1" applyAlignment="1">
      <alignment vertical="top" wrapText="1"/>
    </xf>
    <xf numFmtId="0" fontId="42" fillId="0" borderId="0" xfId="0" applyFont="1" applyFill="1"/>
    <xf numFmtId="4" fontId="0" fillId="0" borderId="0" xfId="0" applyNumberFormat="1"/>
    <xf numFmtId="171" fontId="2" fillId="0" borderId="3" xfId="0" applyNumberFormat="1" applyFont="1" applyFill="1" applyBorder="1" applyAlignment="1">
      <alignment horizontal="center" vertical="top"/>
    </xf>
    <xf numFmtId="0" fontId="56" fillId="4" borderId="0" xfId="0" applyFont="1" applyFill="1" applyAlignment="1">
      <alignment vertical="top" wrapText="1"/>
    </xf>
    <xf numFmtId="0" fontId="56" fillId="4" borderId="0" xfId="0" applyFont="1" applyFill="1"/>
    <xf numFmtId="0" fontId="25" fillId="4" borderId="0" xfId="0" applyFont="1" applyFill="1" applyAlignment="1">
      <alignment vertical="top"/>
    </xf>
    <xf numFmtId="0" fontId="25" fillId="4" borderId="0" xfId="0" applyFont="1" applyFill="1" applyAlignment="1">
      <alignment vertical="top" wrapText="1"/>
    </xf>
    <xf numFmtId="0" fontId="2" fillId="4" borderId="0" xfId="0" applyFont="1" applyFill="1"/>
    <xf numFmtId="0" fontId="25" fillId="4" borderId="0" xfId="0" applyFont="1" applyFill="1"/>
    <xf numFmtId="49" fontId="2" fillId="4" borderId="1" xfId="0" applyNumberFormat="1" applyFont="1" applyFill="1" applyBorder="1" applyAlignment="1">
      <alignment horizontal="center" vertical="top" wrapText="1"/>
    </xf>
    <xf numFmtId="49" fontId="5" fillId="0" borderId="4" xfId="0" applyNumberFormat="1" applyFont="1" applyFill="1" applyBorder="1" applyAlignment="1">
      <alignment horizontal="center" vertical="top"/>
    </xf>
    <xf numFmtId="49" fontId="5" fillId="0" borderId="5" xfId="0" applyNumberFormat="1" applyFont="1" applyFill="1" applyBorder="1" applyAlignment="1">
      <alignment horizontal="center" vertical="top"/>
    </xf>
    <xf numFmtId="4" fontId="0" fillId="0" borderId="0" xfId="0" applyNumberFormat="1" applyFill="1"/>
    <xf numFmtId="49" fontId="8" fillId="4" borderId="0" xfId="0" applyNumberFormat="1" applyFont="1" applyFill="1" applyAlignment="1">
      <alignment horizontal="center" vertical="top" wrapText="1"/>
    </xf>
    <xf numFmtId="0" fontId="8" fillId="4" borderId="0" xfId="0" applyFont="1" applyFill="1" applyAlignment="1">
      <alignment vertical="top" wrapText="1"/>
    </xf>
    <xf numFmtId="0" fontId="8" fillId="4" borderId="0" xfId="0" applyFont="1" applyFill="1" applyAlignment="1">
      <alignment horizontal="center" vertical="top" wrapText="1"/>
    </xf>
    <xf numFmtId="4" fontId="8" fillId="4" borderId="0" xfId="0" applyNumberFormat="1" applyFont="1" applyFill="1" applyAlignment="1">
      <alignment horizontal="right" vertical="top" wrapText="1"/>
    </xf>
    <xf numFmtId="0" fontId="8" fillId="4" borderId="0" xfId="0"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Alignment="1">
      <alignment vertical="top" wrapText="1"/>
    </xf>
    <xf numFmtId="4" fontId="2" fillId="4" borderId="9" xfId="0" applyNumberFormat="1" applyFont="1" applyFill="1" applyBorder="1" applyAlignment="1">
      <alignment horizontal="center" vertical="top" wrapText="1"/>
    </xf>
    <xf numFmtId="0" fontId="2" fillId="4" borderId="1" xfId="0" applyNumberFormat="1" applyFont="1" applyFill="1" applyBorder="1" applyAlignment="1">
      <alignment horizontal="center" vertical="top" wrapText="1"/>
    </xf>
    <xf numFmtId="0" fontId="2" fillId="4" borderId="9" xfId="0" applyNumberFormat="1" applyFont="1" applyFill="1" applyBorder="1" applyAlignment="1">
      <alignment horizontal="center" vertical="top" wrapText="1"/>
    </xf>
    <xf numFmtId="49" fontId="52" fillId="4" borderId="1" xfId="0" applyNumberFormat="1" applyFont="1" applyFill="1" applyBorder="1" applyAlignment="1">
      <alignment horizontal="center" vertical="top" wrapText="1"/>
    </xf>
    <xf numFmtId="0" fontId="52" fillId="4" borderId="1" xfId="0" applyFont="1" applyFill="1" applyBorder="1" applyAlignment="1">
      <alignment vertical="top" wrapText="1"/>
    </xf>
    <xf numFmtId="0" fontId="52" fillId="4" borderId="1" xfId="0" applyFont="1" applyFill="1" applyBorder="1" applyAlignment="1">
      <alignment horizontal="center" vertical="top" wrapText="1"/>
    </xf>
    <xf numFmtId="4" fontId="52" fillId="4" borderId="1" xfId="0" applyNumberFormat="1" applyFont="1" applyFill="1" applyBorder="1" applyAlignment="1">
      <alignment horizontal="right" vertical="top" wrapText="1"/>
    </xf>
    <xf numFmtId="2" fontId="52" fillId="4" borderId="1" xfId="0" applyNumberFormat="1" applyFont="1" applyFill="1" applyBorder="1" applyAlignment="1">
      <alignment horizontal="right" vertical="top" wrapText="1"/>
    </xf>
    <xf numFmtId="0" fontId="52" fillId="4" borderId="0" xfId="0" applyFont="1" applyFill="1" applyBorder="1" applyAlignment="1">
      <alignment vertical="top" wrapText="1"/>
    </xf>
    <xf numFmtId="9" fontId="52" fillId="4" borderId="0" xfId="2" applyFont="1" applyFill="1" applyBorder="1" applyAlignment="1">
      <alignment vertical="top" wrapText="1"/>
    </xf>
    <xf numFmtId="0" fontId="52" fillId="4" borderId="0" xfId="0" applyFont="1" applyFill="1" applyAlignment="1">
      <alignment vertical="top" wrapText="1"/>
    </xf>
    <xf numFmtId="49" fontId="53" fillId="4" borderId="1" xfId="0" applyNumberFormat="1" applyFont="1" applyFill="1" applyBorder="1" applyAlignment="1">
      <alignment horizontal="center" vertical="top" wrapText="1"/>
    </xf>
    <xf numFmtId="0" fontId="53" fillId="4" borderId="1" xfId="0" applyFont="1" applyFill="1" applyBorder="1" applyAlignment="1">
      <alignment vertical="top" wrapText="1"/>
    </xf>
    <xf numFmtId="0" fontId="53" fillId="4" borderId="1" xfId="0" applyFont="1" applyFill="1" applyBorder="1" applyAlignment="1">
      <alignment horizontal="center" vertical="top" wrapText="1"/>
    </xf>
    <xf numFmtId="4" fontId="53" fillId="4" borderId="1" xfId="0" applyNumberFormat="1" applyFont="1" applyFill="1" applyBorder="1" applyAlignment="1">
      <alignment horizontal="right" vertical="top" wrapText="1"/>
    </xf>
    <xf numFmtId="2" fontId="53" fillId="4" borderId="1" xfId="0" applyNumberFormat="1" applyFont="1" applyFill="1" applyBorder="1" applyAlignment="1">
      <alignment horizontal="right" vertical="top" wrapText="1"/>
    </xf>
    <xf numFmtId="0" fontId="53" fillId="4" borderId="0" xfId="0" applyFont="1" applyFill="1" applyBorder="1" applyAlignment="1">
      <alignment vertical="top" wrapText="1"/>
    </xf>
    <xf numFmtId="0" fontId="53" fillId="4" borderId="0" xfId="0" applyFont="1" applyFill="1" applyAlignment="1">
      <alignment vertical="top" wrapText="1"/>
    </xf>
    <xf numFmtId="49" fontId="3" fillId="4" borderId="1" xfId="0" applyNumberFormat="1" applyFont="1" applyFill="1" applyBorder="1" applyAlignment="1">
      <alignment horizontal="center" vertical="top" wrapText="1"/>
    </xf>
    <xf numFmtId="0" fontId="3" fillId="4" borderId="1" xfId="0" applyFont="1" applyFill="1" applyBorder="1" applyAlignment="1">
      <alignment horizontal="left" vertical="top" wrapText="1"/>
    </xf>
    <xf numFmtId="0" fontId="3" fillId="4" borderId="1" xfId="0" applyFont="1" applyFill="1" applyBorder="1" applyAlignment="1">
      <alignment horizontal="center" vertical="top" wrapText="1"/>
    </xf>
    <xf numFmtId="0" fontId="3" fillId="4" borderId="3" xfId="0" applyFont="1" applyFill="1" applyBorder="1" applyAlignment="1">
      <alignment horizontal="center" vertical="top" wrapText="1"/>
    </xf>
    <xf numFmtId="4" fontId="3" fillId="4" borderId="1" xfId="0" applyNumberFormat="1" applyFont="1" applyFill="1" applyBorder="1" applyAlignment="1">
      <alignment horizontal="right" vertical="top" wrapText="1"/>
    </xf>
    <xf numFmtId="2" fontId="3" fillId="4" borderId="1" xfId="0" applyNumberFormat="1" applyFont="1" applyFill="1" applyBorder="1" applyAlignment="1">
      <alignment horizontal="right" vertical="top" wrapText="1"/>
    </xf>
    <xf numFmtId="4" fontId="3" fillId="4" borderId="9" xfId="0" applyNumberFormat="1" applyFont="1" applyFill="1" applyBorder="1" applyAlignment="1">
      <alignment horizontal="right" vertical="top" wrapText="1"/>
    </xf>
    <xf numFmtId="0" fontId="3" fillId="4" borderId="0" xfId="0" applyFont="1" applyFill="1" applyBorder="1" applyAlignment="1">
      <alignment vertical="top" wrapText="1"/>
    </xf>
    <xf numFmtId="0" fontId="3" fillId="4" borderId="0" xfId="0" applyFont="1" applyFill="1" applyAlignment="1">
      <alignment vertical="top" wrapText="1"/>
    </xf>
    <xf numFmtId="0" fontId="3" fillId="4" borderId="1" xfId="0" applyFont="1" applyFill="1" applyBorder="1" applyAlignment="1">
      <alignment vertical="top" wrapText="1"/>
    </xf>
    <xf numFmtId="0" fontId="53" fillId="4" borderId="9" xfId="0" applyFont="1" applyFill="1" applyBorder="1" applyAlignment="1">
      <alignment horizontal="left" vertical="top" wrapText="1"/>
    </xf>
    <xf numFmtId="0" fontId="53" fillId="4" borderId="3" xfId="0" applyFont="1" applyFill="1" applyBorder="1" applyAlignment="1">
      <alignment horizontal="center" vertical="top" wrapText="1"/>
    </xf>
    <xf numFmtId="4" fontId="53" fillId="4" borderId="3" xfId="0" applyNumberFormat="1" applyFont="1" applyFill="1" applyBorder="1" applyAlignment="1">
      <alignment horizontal="right" vertical="top" wrapText="1"/>
    </xf>
    <xf numFmtId="4" fontId="53" fillId="4" borderId="9" xfId="0" applyNumberFormat="1" applyFont="1" applyFill="1" applyBorder="1" applyAlignment="1">
      <alignment horizontal="right" vertical="top" wrapText="1"/>
    </xf>
    <xf numFmtId="0" fontId="53" fillId="4" borderId="13" xfId="0" applyFont="1" applyFill="1" applyBorder="1" applyAlignment="1">
      <alignment horizontal="left" vertical="top" wrapText="1"/>
    </xf>
    <xf numFmtId="0" fontId="53" fillId="4" borderId="13" xfId="0" applyFont="1" applyFill="1" applyBorder="1" applyAlignment="1">
      <alignment horizontal="center" vertical="top" wrapText="1"/>
    </xf>
    <xf numFmtId="0" fontId="3" fillId="4" borderId="13" xfId="0" applyFont="1" applyFill="1" applyBorder="1" applyAlignment="1">
      <alignment horizontal="center" vertical="top" wrapText="1"/>
    </xf>
    <xf numFmtId="0" fontId="3" fillId="4" borderId="9" xfId="0" applyFont="1" applyFill="1" applyBorder="1" applyAlignment="1">
      <alignment horizontal="left" vertical="top" wrapText="1"/>
    </xf>
    <xf numFmtId="0" fontId="53" fillId="4" borderId="1" xfId="0" applyFont="1" applyFill="1" applyBorder="1" applyAlignment="1">
      <alignment horizontal="left" vertical="top" wrapText="1"/>
    </xf>
    <xf numFmtId="0" fontId="54" fillId="4" borderId="13" xfId="0" applyFont="1" applyFill="1" applyBorder="1" applyAlignment="1">
      <alignment horizontal="center" vertical="top" wrapText="1"/>
    </xf>
    <xf numFmtId="0" fontId="52" fillId="4" borderId="1" xfId="0" applyFont="1" applyFill="1" applyBorder="1" applyAlignment="1">
      <alignment horizontal="left" vertical="top" wrapText="1"/>
    </xf>
    <xf numFmtId="9" fontId="53" fillId="4" borderId="0" xfId="2" applyFont="1" applyFill="1" applyBorder="1" applyAlignment="1">
      <alignment vertical="top" wrapText="1"/>
    </xf>
    <xf numFmtId="0" fontId="53" fillId="4" borderId="9" xfId="0" applyFont="1" applyFill="1" applyBorder="1" applyAlignment="1">
      <alignment vertical="top" wrapText="1"/>
    </xf>
    <xf numFmtId="0" fontId="3" fillId="4" borderId="9" xfId="0" applyFont="1" applyFill="1" applyBorder="1" applyAlignment="1">
      <alignment vertical="top" wrapText="1"/>
    </xf>
    <xf numFmtId="4" fontId="3" fillId="4" borderId="3" xfId="0" applyNumberFormat="1" applyFont="1" applyFill="1" applyBorder="1" applyAlignment="1">
      <alignment horizontal="right" vertical="top" wrapText="1"/>
    </xf>
    <xf numFmtId="49" fontId="53" fillId="4" borderId="3" xfId="0" applyNumberFormat="1" applyFont="1" applyFill="1" applyBorder="1" applyAlignment="1">
      <alignment horizontal="center" vertical="top" wrapText="1"/>
    </xf>
    <xf numFmtId="0" fontId="53" fillId="4" borderId="3" xfId="0" applyFont="1" applyFill="1" applyBorder="1" applyAlignment="1">
      <alignment vertical="top" wrapText="1"/>
    </xf>
    <xf numFmtId="0" fontId="3" fillId="4" borderId="0" xfId="0" applyFont="1" applyFill="1" applyBorder="1"/>
    <xf numFmtId="9" fontId="3" fillId="4" borderId="0" xfId="2" applyFont="1" applyFill="1" applyBorder="1" applyAlignment="1">
      <alignment vertical="top" wrapText="1"/>
    </xf>
    <xf numFmtId="49" fontId="52" fillId="4" borderId="5" xfId="0" applyNumberFormat="1" applyFont="1" applyFill="1" applyBorder="1" applyAlignment="1">
      <alignment horizontal="center" vertical="top" wrapText="1"/>
    </xf>
    <xf numFmtId="0" fontId="52" fillId="4" borderId="5" xfId="0" applyFont="1" applyFill="1" applyBorder="1" applyAlignment="1">
      <alignment vertical="top" wrapText="1"/>
    </xf>
    <xf numFmtId="0" fontId="52" fillId="4" borderId="5" xfId="0" applyFont="1" applyFill="1" applyBorder="1" applyAlignment="1">
      <alignment horizontal="center" vertical="top" wrapText="1"/>
    </xf>
    <xf numFmtId="4" fontId="52" fillId="4" borderId="5" xfId="0" applyNumberFormat="1" applyFont="1" applyFill="1" applyBorder="1" applyAlignment="1">
      <alignment horizontal="right" vertical="top" wrapText="1"/>
    </xf>
    <xf numFmtId="0" fontId="26" fillId="4" borderId="1" xfId="0" applyFont="1" applyFill="1" applyBorder="1" applyAlignment="1">
      <alignment vertical="top" wrapText="1"/>
    </xf>
    <xf numFmtId="0" fontId="26" fillId="4" borderId="1" xfId="0" applyFont="1" applyFill="1" applyBorder="1" applyAlignment="1">
      <alignment horizontal="center" vertical="top" wrapText="1"/>
    </xf>
    <xf numFmtId="4" fontId="53" fillId="4" borderId="4" xfId="0" applyNumberFormat="1" applyFont="1" applyFill="1" applyBorder="1" applyAlignment="1">
      <alignment horizontal="right" vertical="top" wrapText="1"/>
    </xf>
    <xf numFmtId="0" fontId="53" fillId="4" borderId="0" xfId="0" applyFont="1" applyFill="1" applyBorder="1" applyAlignment="1">
      <alignment horizontal="right" vertical="top" wrapText="1"/>
    </xf>
    <xf numFmtId="0" fontId="26" fillId="4" borderId="9" xfId="0" applyFont="1" applyFill="1" applyBorder="1" applyAlignment="1">
      <alignment vertical="top" wrapText="1"/>
    </xf>
    <xf numFmtId="0" fontId="2" fillId="4" borderId="0" xfId="0" applyFont="1" applyFill="1" applyBorder="1" applyAlignment="1">
      <alignment horizontal="right" vertical="top" wrapText="1"/>
    </xf>
    <xf numFmtId="2" fontId="3" fillId="4" borderId="3" xfId="0" applyNumberFormat="1" applyFont="1" applyFill="1" applyBorder="1" applyAlignment="1">
      <alignment horizontal="right" vertical="top" wrapText="1"/>
    </xf>
    <xf numFmtId="49" fontId="26" fillId="4" borderId="1" xfId="0" applyNumberFormat="1" applyFont="1" applyFill="1" applyBorder="1" applyAlignment="1">
      <alignment horizontal="center" vertical="top" wrapText="1"/>
    </xf>
    <xf numFmtId="4" fontId="26" fillId="4" borderId="1" xfId="0" applyNumberFormat="1" applyFont="1" applyFill="1" applyBorder="1" applyAlignment="1">
      <alignment horizontal="right" vertical="top" wrapText="1"/>
    </xf>
    <xf numFmtId="4" fontId="26" fillId="4" borderId="3" xfId="0" applyNumberFormat="1" applyFont="1" applyFill="1" applyBorder="1" applyAlignment="1">
      <alignment horizontal="right" vertical="top" wrapText="1"/>
    </xf>
    <xf numFmtId="4" fontId="26" fillId="4" borderId="9" xfId="0" applyNumberFormat="1" applyFont="1" applyFill="1" applyBorder="1" applyAlignment="1">
      <alignment horizontal="right" vertical="top" wrapText="1"/>
    </xf>
    <xf numFmtId="0" fontId="26" fillId="4" borderId="0" xfId="0" applyFont="1" applyFill="1" applyBorder="1" applyAlignment="1">
      <alignment vertical="top" wrapText="1"/>
    </xf>
    <xf numFmtId="9" fontId="26" fillId="4" borderId="0" xfId="2" applyFont="1" applyFill="1" applyBorder="1" applyAlignment="1">
      <alignment vertical="top" wrapText="1"/>
    </xf>
    <xf numFmtId="0" fontId="26" fillId="4" borderId="0" xfId="0" applyFont="1" applyFill="1" applyAlignment="1">
      <alignment vertical="top" wrapText="1"/>
    </xf>
    <xf numFmtId="4" fontId="3" fillId="4" borderId="0" xfId="0" applyNumberFormat="1" applyFont="1" applyFill="1" applyBorder="1" applyAlignment="1">
      <alignment vertical="top" wrapText="1"/>
    </xf>
    <xf numFmtId="4" fontId="2" fillId="4" borderId="1" xfId="0" applyNumberFormat="1" applyFont="1" applyFill="1" applyBorder="1" applyAlignment="1">
      <alignment horizontal="right" vertical="top" wrapText="1"/>
    </xf>
    <xf numFmtId="4" fontId="2" fillId="4" borderId="1" xfId="0" applyNumberFormat="1" applyFont="1" applyFill="1" applyBorder="1" applyAlignment="1">
      <alignment horizontal="right" vertical="center" wrapText="1"/>
    </xf>
    <xf numFmtId="4" fontId="5" fillId="4" borderId="1" xfId="0" applyNumberFormat="1" applyFont="1" applyFill="1" applyBorder="1" applyAlignment="1">
      <alignment horizontal="right" vertical="top" wrapText="1"/>
    </xf>
    <xf numFmtId="4" fontId="9" fillId="4" borderId="0" xfId="0" applyNumberFormat="1" applyFont="1" applyFill="1" applyAlignment="1">
      <alignment horizontal="right" vertical="top" wrapText="1"/>
    </xf>
    <xf numFmtId="4" fontId="8" fillId="4" borderId="0" xfId="0" applyNumberFormat="1" applyFont="1" applyFill="1" applyBorder="1" applyAlignment="1">
      <alignment horizontal="right" vertical="top" wrapText="1"/>
    </xf>
    <xf numFmtId="0" fontId="27" fillId="4" borderId="0" xfId="0" applyFont="1" applyFill="1" applyAlignment="1">
      <alignment vertical="top"/>
    </xf>
    <xf numFmtId="0" fontId="27" fillId="4" borderId="0" xfId="0" applyFont="1" applyFill="1" applyAlignment="1">
      <alignment horizontal="left" vertical="top"/>
    </xf>
    <xf numFmtId="0" fontId="27" fillId="4" borderId="0" xfId="0" applyFont="1" applyFill="1" applyAlignment="1">
      <alignment horizontal="center" vertical="top"/>
    </xf>
    <xf numFmtId="0" fontId="49" fillId="4" borderId="0" xfId="0" applyFont="1" applyFill="1" applyAlignment="1">
      <alignment vertical="top" wrapText="1"/>
    </xf>
    <xf numFmtId="0" fontId="50" fillId="4" borderId="0" xfId="0" applyFont="1" applyFill="1"/>
    <xf numFmtId="0" fontId="28" fillId="4" borderId="0" xfId="0" applyFont="1" applyFill="1" applyAlignment="1">
      <alignment vertical="top"/>
    </xf>
    <xf numFmtId="0" fontId="28" fillId="4" borderId="0" xfId="0" applyFont="1" applyFill="1" applyAlignment="1">
      <alignment horizontal="left" vertical="top"/>
    </xf>
    <xf numFmtId="0" fontId="28" fillId="4" borderId="0" xfId="0" applyFont="1" applyFill="1" applyAlignment="1">
      <alignment horizontal="center" vertical="top"/>
    </xf>
    <xf numFmtId="0" fontId="5" fillId="4" borderId="0" xfId="0" applyFont="1" applyFill="1" applyAlignment="1">
      <alignment horizontal="left" vertical="center"/>
    </xf>
    <xf numFmtId="0" fontId="5" fillId="4" borderId="0" xfId="0" applyFont="1" applyFill="1" applyAlignment="1">
      <alignment horizontal="left"/>
    </xf>
    <xf numFmtId="0" fontId="5" fillId="4" borderId="0" xfId="0" applyFont="1" applyFill="1"/>
    <xf numFmtId="4" fontId="14" fillId="4" borderId="0" xfId="0" applyNumberFormat="1" applyFont="1" applyFill="1"/>
    <xf numFmtId="4" fontId="2" fillId="4" borderId="0" xfId="0" applyNumberFormat="1" applyFont="1" applyFill="1"/>
    <xf numFmtId="4" fontId="2" fillId="4" borderId="0" xfId="0" applyNumberFormat="1" applyFont="1" applyFill="1" applyAlignment="1">
      <alignment horizontal="right"/>
    </xf>
    <xf numFmtId="4" fontId="5" fillId="4" borderId="0" xfId="0" applyNumberFormat="1" applyFont="1" applyFill="1" applyAlignment="1">
      <alignment horizontal="right"/>
    </xf>
    <xf numFmtId="0" fontId="2" fillId="4" borderId="0" xfId="0" applyFont="1" applyFill="1" applyAlignment="1">
      <alignment horizontal="center" vertical="center"/>
    </xf>
    <xf numFmtId="0" fontId="2" fillId="4" borderId="0" xfId="0" applyFont="1" applyFill="1" applyAlignment="1">
      <alignment horizontal="left"/>
    </xf>
    <xf numFmtId="4" fontId="2" fillId="4" borderId="1" xfId="0" applyNumberFormat="1" applyFont="1" applyFill="1" applyBorder="1" applyAlignment="1">
      <alignment horizontal="center" vertical="center" wrapText="1"/>
    </xf>
    <xf numFmtId="0" fontId="5" fillId="4" borderId="0" xfId="0" applyFont="1" applyFill="1" applyAlignment="1">
      <alignment horizontal="center" vertical="center"/>
    </xf>
    <xf numFmtId="4" fontId="5" fillId="4" borderId="1" xfId="0" applyNumberFormat="1" applyFont="1" applyFill="1" applyBorder="1" applyAlignment="1">
      <alignment horizontal="right" vertical="top"/>
    </xf>
    <xf numFmtId="166" fontId="5" fillId="4" borderId="1" xfId="0" applyNumberFormat="1" applyFont="1" applyFill="1" applyBorder="1" applyAlignment="1">
      <alignment horizontal="right" vertical="top"/>
    </xf>
    <xf numFmtId="4" fontId="2" fillId="4" borderId="1" xfId="0" applyNumberFormat="1" applyFont="1" applyFill="1" applyBorder="1" applyAlignment="1">
      <alignment horizontal="right" vertical="top"/>
    </xf>
    <xf numFmtId="4" fontId="5" fillId="4" borderId="1" xfId="0" applyNumberFormat="1" applyFont="1" applyFill="1" applyBorder="1" applyAlignment="1">
      <alignment horizontal="right" vertical="center" wrapText="1"/>
    </xf>
    <xf numFmtId="4" fontId="8" fillId="4" borderId="0" xfId="0" applyNumberFormat="1" applyFont="1" applyFill="1" applyAlignment="1">
      <alignment vertical="top" wrapText="1"/>
    </xf>
    <xf numFmtId="49" fontId="5" fillId="4" borderId="1" xfId="0" applyNumberFormat="1" applyFont="1" applyFill="1" applyBorder="1" applyAlignment="1">
      <alignment horizontal="center" vertical="top" wrapText="1"/>
    </xf>
    <xf numFmtId="0" fontId="5" fillId="4" borderId="1" xfId="0" applyFont="1" applyFill="1" applyBorder="1" applyAlignment="1">
      <alignment horizontal="center" vertical="top" wrapText="1"/>
    </xf>
    <xf numFmtId="3" fontId="5" fillId="4" borderId="1" xfId="0" applyNumberFormat="1" applyFont="1" applyFill="1" applyBorder="1" applyAlignment="1">
      <alignment horizontal="center" vertical="top" wrapText="1"/>
    </xf>
    <xf numFmtId="49" fontId="2" fillId="4" borderId="1" xfId="0" applyNumberFormat="1" applyFont="1" applyFill="1" applyBorder="1" applyAlignment="1">
      <alignment horizontal="center" vertical="top" wrapText="1"/>
    </xf>
    <xf numFmtId="0" fontId="2" fillId="4" borderId="1" xfId="0" applyFont="1" applyFill="1" applyBorder="1" applyAlignment="1">
      <alignment horizontal="center" vertical="top" wrapText="1"/>
    </xf>
    <xf numFmtId="4" fontId="2" fillId="4" borderId="1" xfId="0" applyNumberFormat="1" applyFont="1" applyFill="1" applyBorder="1" applyAlignment="1">
      <alignment horizontal="center" vertical="top" wrapText="1"/>
    </xf>
    <xf numFmtId="0" fontId="57" fillId="0" borderId="1" xfId="0" applyFont="1" applyFill="1" applyBorder="1" applyAlignment="1">
      <alignment vertical="top" wrapText="1"/>
    </xf>
    <xf numFmtId="4" fontId="2" fillId="5" borderId="9" xfId="0" applyNumberFormat="1" applyFont="1" applyFill="1" applyBorder="1" applyAlignment="1">
      <alignment horizontal="center" vertical="top" wrapText="1"/>
    </xf>
    <xf numFmtId="0" fontId="27" fillId="4" borderId="0" xfId="0" applyFont="1" applyFill="1" applyAlignment="1">
      <alignment horizontal="left" vertical="top" wrapText="1"/>
    </xf>
    <xf numFmtId="49" fontId="58" fillId="4" borderId="4" xfId="0" applyNumberFormat="1" applyFont="1" applyFill="1" applyBorder="1" applyAlignment="1">
      <alignment horizontal="center" vertical="top"/>
    </xf>
    <xf numFmtId="2" fontId="2" fillId="4" borderId="1" xfId="0" applyNumberFormat="1" applyFont="1" applyFill="1" applyBorder="1" applyAlignment="1">
      <alignment horizontal="center" vertical="center" wrapText="1"/>
    </xf>
    <xf numFmtId="0" fontId="2" fillId="4" borderId="1" xfId="0" applyFont="1" applyFill="1" applyBorder="1" applyAlignment="1">
      <alignment vertical="center" wrapText="1"/>
    </xf>
    <xf numFmtId="0" fontId="24" fillId="4" borderId="2" xfId="0" applyFont="1" applyFill="1" applyBorder="1" applyAlignment="1">
      <alignment vertical="center" wrapText="1"/>
    </xf>
    <xf numFmtId="0" fontId="2" fillId="0" borderId="2" xfId="0" applyFont="1" applyFill="1" applyBorder="1" applyAlignment="1">
      <alignment vertical="center" wrapText="1"/>
    </xf>
    <xf numFmtId="0" fontId="2" fillId="0" borderId="1" xfId="0" applyFont="1" applyFill="1" applyBorder="1" applyAlignment="1">
      <alignment vertical="center" wrapText="1"/>
    </xf>
    <xf numFmtId="2"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xf>
    <xf numFmtId="166" fontId="2" fillId="0" borderId="1" xfId="0" applyNumberFormat="1" applyFont="1" applyFill="1" applyBorder="1" applyAlignment="1">
      <alignment horizontal="center" vertical="center"/>
    </xf>
    <xf numFmtId="0" fontId="24" fillId="4"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2" xfId="0" applyFont="1" applyFill="1" applyBorder="1" applyAlignment="1">
      <alignment horizontal="left" vertical="center" wrapText="1"/>
    </xf>
    <xf numFmtId="3" fontId="2" fillId="0" borderId="1" xfId="0" applyNumberFormat="1" applyFont="1" applyFill="1" applyBorder="1" applyAlignment="1">
      <alignment horizontal="center" vertical="center"/>
    </xf>
    <xf numFmtId="0" fontId="5" fillId="4" borderId="10" xfId="0" applyFont="1" applyFill="1" applyBorder="1" applyAlignment="1">
      <alignment vertical="center" wrapText="1"/>
    </xf>
    <xf numFmtId="0" fontId="24" fillId="4" borderId="1" xfId="0" applyFont="1" applyFill="1" applyBorder="1" applyAlignment="1">
      <alignment vertical="center" wrapText="1"/>
    </xf>
    <xf numFmtId="0" fontId="24" fillId="0" borderId="1" xfId="0" applyFont="1" applyFill="1" applyBorder="1" applyAlignment="1">
      <alignment vertical="center" wrapText="1"/>
    </xf>
    <xf numFmtId="4" fontId="2" fillId="0" borderId="3"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wrapText="1"/>
    </xf>
    <xf numFmtId="0" fontId="11" fillId="4" borderId="0" xfId="0" applyFont="1" applyFill="1" applyAlignment="1">
      <alignment horizontal="left" vertical="top"/>
    </xf>
    <xf numFmtId="2" fontId="3" fillId="4" borderId="1" xfId="0" applyNumberFormat="1" applyFont="1" applyFill="1" applyBorder="1" applyAlignment="1">
      <alignment horizontal="center" vertical="center" wrapText="1"/>
    </xf>
    <xf numFmtId="4" fontId="3" fillId="4" borderId="1" xfId="0" applyNumberFormat="1"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4" fontId="3" fillId="4" borderId="3" xfId="0" applyNumberFormat="1" applyFont="1" applyFill="1" applyBorder="1" applyAlignment="1">
      <alignment horizontal="center" vertical="center" wrapText="1"/>
    </xf>
    <xf numFmtId="4" fontId="26" fillId="4" borderId="1" xfId="0" applyNumberFormat="1" applyFont="1" applyFill="1" applyBorder="1" applyAlignment="1">
      <alignment horizontal="center" vertical="center" wrapText="1"/>
    </xf>
    <xf numFmtId="0" fontId="3" fillId="4" borderId="13" xfId="0"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4" fontId="3" fillId="0" borderId="9"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2" fontId="3" fillId="0" borderId="3" xfId="0" applyNumberFormat="1" applyFont="1" applyFill="1" applyBorder="1" applyAlignment="1">
      <alignment horizontal="center" vertical="center" wrapText="1"/>
    </xf>
    <xf numFmtId="167" fontId="3" fillId="0" borderId="9" xfId="0" applyNumberFormat="1" applyFont="1" applyFill="1" applyBorder="1" applyAlignment="1">
      <alignment horizontal="center" vertical="center" wrapText="1"/>
    </xf>
    <xf numFmtId="4" fontId="26" fillId="0" borderId="3" xfId="0" applyNumberFormat="1" applyFont="1" applyFill="1" applyBorder="1" applyAlignment="1">
      <alignment horizontal="center" vertical="center" wrapText="1"/>
    </xf>
    <xf numFmtId="4" fontId="26" fillId="0" borderId="1" xfId="0" applyNumberFormat="1" applyFont="1" applyFill="1" applyBorder="1" applyAlignment="1">
      <alignment horizontal="center" vertical="center" wrapText="1"/>
    </xf>
    <xf numFmtId="4" fontId="59" fillId="4" borderId="0" xfId="0" applyNumberFormat="1" applyFont="1" applyFill="1" applyAlignment="1">
      <alignment horizontal="right" vertical="top" wrapText="1"/>
    </xf>
    <xf numFmtId="0" fontId="59" fillId="4" borderId="1" xfId="0" applyNumberFormat="1" applyFont="1" applyFill="1" applyBorder="1" applyAlignment="1">
      <alignment horizontal="center" vertical="top" wrapText="1"/>
    </xf>
    <xf numFmtId="4" fontId="59" fillId="4" borderId="1" xfId="0" applyNumberFormat="1" applyFont="1" applyFill="1" applyBorder="1" applyAlignment="1">
      <alignment horizontal="center" vertical="center" wrapText="1"/>
    </xf>
    <xf numFmtId="0" fontId="60" fillId="4" borderId="0" xfId="0" applyFont="1" applyFill="1"/>
    <xf numFmtId="0" fontId="61" fillId="4" borderId="0" xfId="0" applyFont="1" applyFill="1"/>
    <xf numFmtId="4" fontId="62" fillId="4" borderId="0" xfId="0" applyNumberFormat="1" applyFont="1" applyFill="1" applyAlignment="1">
      <alignment horizontal="right"/>
    </xf>
    <xf numFmtId="4" fontId="59" fillId="4" borderId="0" xfId="0" applyNumberFormat="1" applyFont="1" applyFill="1" applyAlignment="1">
      <alignment horizontal="right"/>
    </xf>
    <xf numFmtId="4" fontId="62" fillId="4" borderId="1" xfId="0" applyNumberFormat="1" applyFont="1" applyFill="1" applyBorder="1" applyAlignment="1">
      <alignment horizontal="right" vertical="center" wrapText="1"/>
    </xf>
    <xf numFmtId="0" fontId="2" fillId="0" borderId="2" xfId="0" applyFont="1" applyFill="1" applyBorder="1" applyAlignment="1">
      <alignment horizontal="center" vertical="center" wrapText="1"/>
    </xf>
    <xf numFmtId="4" fontId="2" fillId="0" borderId="9"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0" fontId="24" fillId="4" borderId="2" xfId="0" applyFont="1" applyFill="1" applyBorder="1" applyAlignment="1">
      <alignment horizontal="left" vertical="top" wrapText="1"/>
    </xf>
    <xf numFmtId="0" fontId="24" fillId="4" borderId="2" xfId="0" applyFont="1" applyFill="1" applyBorder="1" applyAlignment="1">
      <alignment horizontal="left" vertical="center" wrapText="1"/>
    </xf>
    <xf numFmtId="0" fontId="5" fillId="4" borderId="1" xfId="0" applyFont="1" applyFill="1" applyBorder="1" applyAlignment="1">
      <alignment horizontal="left" vertical="top" wrapText="1"/>
    </xf>
    <xf numFmtId="0" fontId="24" fillId="4" borderId="1" xfId="0" applyFont="1" applyFill="1" applyBorder="1" applyAlignment="1">
      <alignment horizontal="left" vertical="top" wrapText="1"/>
    </xf>
    <xf numFmtId="49" fontId="5" fillId="4" borderId="1" xfId="0" applyNumberFormat="1" applyFont="1" applyFill="1" applyBorder="1" applyAlignment="1">
      <alignment horizontal="center" vertical="top" wrapText="1"/>
    </xf>
    <xf numFmtId="0" fontId="24" fillId="4" borderId="10" xfId="0" applyFont="1" applyFill="1" applyBorder="1" applyAlignment="1">
      <alignment horizontal="left" vertical="top" wrapText="1"/>
    </xf>
    <xf numFmtId="49" fontId="2" fillId="4" borderId="1" xfId="0" applyNumberFormat="1" applyFont="1" applyFill="1" applyBorder="1" applyAlignment="1">
      <alignment horizontal="center" vertical="top" wrapText="1"/>
    </xf>
    <xf numFmtId="0" fontId="2" fillId="4" borderId="1" xfId="0" applyFont="1" applyFill="1" applyBorder="1" applyAlignment="1">
      <alignment horizontal="center" vertical="top" wrapText="1"/>
    </xf>
    <xf numFmtId="4" fontId="2" fillId="4" borderId="1" xfId="0" applyNumberFormat="1" applyFont="1" applyFill="1" applyBorder="1" applyAlignment="1">
      <alignment horizontal="right" vertical="top" wrapText="1"/>
    </xf>
    <xf numFmtId="4" fontId="2" fillId="4" borderId="1" xfId="0" applyNumberFormat="1" applyFont="1" applyFill="1" applyBorder="1" applyAlignment="1">
      <alignment horizontal="center" vertical="top" wrapText="1"/>
    </xf>
    <xf numFmtId="4" fontId="2" fillId="4" borderId="1" xfId="0" applyNumberFormat="1" applyFont="1" applyFill="1" applyBorder="1" applyAlignment="1">
      <alignment horizontal="center" vertical="center" wrapText="1"/>
    </xf>
    <xf numFmtId="0" fontId="3" fillId="4" borderId="1" xfId="0" applyFont="1" applyFill="1" applyBorder="1" applyAlignment="1">
      <alignment horizontal="left" wrapText="1"/>
    </xf>
    <xf numFmtId="4" fontId="26" fillId="0" borderId="9" xfId="0" applyNumberFormat="1" applyFont="1" applyFill="1" applyBorder="1" applyAlignment="1">
      <alignment horizontal="center" vertical="center" wrapText="1"/>
    </xf>
    <xf numFmtId="49" fontId="63" fillId="0" borderId="3" xfId="0" applyNumberFormat="1" applyFont="1" applyFill="1" applyBorder="1" applyAlignment="1">
      <alignment horizontal="center" vertical="top"/>
    </xf>
    <xf numFmtId="49" fontId="63" fillId="0" borderId="4" xfId="0" applyNumberFormat="1" applyFont="1" applyFill="1" applyBorder="1" applyAlignment="1">
      <alignment horizontal="center" vertical="top"/>
    </xf>
    <xf numFmtId="49" fontId="63" fillId="0" borderId="5" xfId="0" applyNumberFormat="1" applyFont="1" applyFill="1" applyBorder="1" applyAlignment="1">
      <alignment horizontal="center" vertical="top"/>
    </xf>
    <xf numFmtId="0" fontId="5" fillId="0" borderId="2" xfId="0" applyFont="1" applyFill="1" applyBorder="1" applyAlignment="1">
      <alignment horizontal="left" vertical="center" wrapText="1"/>
    </xf>
    <xf numFmtId="0" fontId="2" fillId="0" borderId="1" xfId="0" applyFont="1" applyFill="1" applyBorder="1" applyAlignment="1">
      <alignment horizontal="left" vertical="center" wrapText="1"/>
    </xf>
    <xf numFmtId="2" fontId="2" fillId="0" borderId="1"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0" fontId="5" fillId="0" borderId="2" xfId="0" applyFont="1" applyFill="1" applyBorder="1" applyAlignment="1">
      <alignment vertical="center" wrapText="1"/>
    </xf>
    <xf numFmtId="170" fontId="2" fillId="0" borderId="1" xfId="0" applyNumberFormat="1" applyFont="1" applyFill="1" applyBorder="1" applyAlignment="1">
      <alignment horizontal="center" vertical="center"/>
    </xf>
    <xf numFmtId="170" fontId="2" fillId="0" borderId="7" xfId="0" applyNumberFormat="1" applyFont="1" applyFill="1" applyBorder="1" applyAlignment="1">
      <alignment horizontal="center" vertical="center"/>
    </xf>
    <xf numFmtId="169" fontId="2" fillId="0" borderId="1" xfId="0" applyNumberFormat="1" applyFont="1" applyFill="1" applyBorder="1" applyAlignment="1">
      <alignment horizontal="center" vertical="center"/>
    </xf>
    <xf numFmtId="0" fontId="5" fillId="4" borderId="2" xfId="0" applyFont="1" applyFill="1" applyBorder="1" applyAlignment="1">
      <alignment vertical="center" wrapText="1"/>
    </xf>
    <xf numFmtId="4" fontId="2" fillId="4" borderId="1" xfId="0" applyNumberFormat="1" applyFont="1" applyFill="1" applyBorder="1" applyAlignment="1">
      <alignment horizontal="center" vertical="center"/>
    </xf>
    <xf numFmtId="0" fontId="2" fillId="4" borderId="1" xfId="0" applyFont="1" applyFill="1" applyBorder="1" applyAlignment="1">
      <alignment horizontal="left" vertical="center" wrapText="1"/>
    </xf>
    <xf numFmtId="0" fontId="5" fillId="4" borderId="2" xfId="0" applyFont="1" applyFill="1" applyBorder="1" applyAlignment="1">
      <alignment horizontal="left" vertical="center" wrapText="1"/>
    </xf>
    <xf numFmtId="1" fontId="2" fillId="4" borderId="1" xfId="0" applyNumberFormat="1" applyFont="1" applyFill="1" applyBorder="1" applyAlignment="1">
      <alignment horizontal="center" vertical="center"/>
    </xf>
    <xf numFmtId="3" fontId="2" fillId="4" borderId="2" xfId="0" applyNumberFormat="1" applyFont="1" applyFill="1" applyBorder="1" applyAlignment="1">
      <alignment horizontal="center" vertical="center"/>
    </xf>
    <xf numFmtId="2" fontId="2" fillId="4" borderId="2" xfId="0" applyNumberFormat="1" applyFont="1" applyFill="1" applyBorder="1" applyAlignment="1">
      <alignment horizontal="center" vertical="center"/>
    </xf>
    <xf numFmtId="2" fontId="2" fillId="4" borderId="1" xfId="0" applyNumberFormat="1" applyFont="1" applyFill="1" applyBorder="1" applyAlignment="1">
      <alignment horizontal="center" vertical="center"/>
    </xf>
    <xf numFmtId="2" fontId="2" fillId="4" borderId="2" xfId="2" applyNumberFormat="1" applyFont="1" applyFill="1" applyBorder="1" applyAlignment="1">
      <alignment horizontal="center" vertical="center"/>
    </xf>
    <xf numFmtId="169" fontId="2" fillId="4" borderId="1" xfId="0" applyNumberFormat="1" applyFont="1" applyFill="1" applyBorder="1" applyAlignment="1">
      <alignment horizontal="center" vertical="center"/>
    </xf>
    <xf numFmtId="169" fontId="2" fillId="4" borderId="1" xfId="0" applyNumberFormat="1" applyFont="1" applyFill="1" applyBorder="1" applyAlignment="1">
      <alignment horizontal="center" vertical="center" wrapText="1"/>
    </xf>
    <xf numFmtId="0" fontId="2" fillId="4" borderId="2" xfId="0" applyFont="1" applyFill="1" applyBorder="1" applyAlignment="1">
      <alignment wrapText="1"/>
    </xf>
    <xf numFmtId="0" fontId="2" fillId="4" borderId="2" xfId="0" applyFont="1" applyFill="1" applyBorder="1" applyAlignment="1">
      <alignment horizontal="left" vertical="center" wrapText="1"/>
    </xf>
    <xf numFmtId="171" fontId="2" fillId="4" borderId="1"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xf>
    <xf numFmtId="166" fontId="2" fillId="0" borderId="1" xfId="0" applyNumberFormat="1" applyFont="1" applyFill="1" applyBorder="1" applyAlignment="1">
      <alignment horizontal="center" vertical="center" wrapText="1"/>
    </xf>
    <xf numFmtId="0" fontId="2" fillId="0" borderId="1" xfId="0" applyFont="1" applyFill="1" applyBorder="1" applyAlignment="1">
      <alignment vertical="top"/>
    </xf>
    <xf numFmtId="1" fontId="2" fillId="4" borderId="2" xfId="0" applyNumberFormat="1" applyFont="1" applyFill="1" applyBorder="1" applyAlignment="1">
      <alignment horizontal="center" vertical="center"/>
    </xf>
    <xf numFmtId="169" fontId="2" fillId="0" borderId="1"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1" xfId="0" applyFont="1" applyFill="1" applyBorder="1" applyAlignment="1">
      <alignment horizontal="center" vertical="center"/>
    </xf>
    <xf numFmtId="170" fontId="2" fillId="0" borderId="1" xfId="0" applyNumberFormat="1" applyFont="1" applyFill="1" applyBorder="1" applyAlignment="1">
      <alignment horizontal="center" vertical="center" wrapText="1"/>
    </xf>
    <xf numFmtId="172" fontId="2" fillId="0" borderId="1" xfId="0" applyNumberFormat="1" applyFont="1" applyFill="1" applyBorder="1" applyAlignment="1">
      <alignment horizontal="center" vertical="center"/>
    </xf>
    <xf numFmtId="0" fontId="24" fillId="4" borderId="2" xfId="0" applyFont="1" applyFill="1" applyBorder="1" applyAlignment="1">
      <alignment vertical="top" wrapText="1"/>
    </xf>
    <xf numFmtId="172" fontId="2" fillId="4" borderId="1" xfId="0" applyNumberFormat="1" applyFont="1" applyFill="1" applyBorder="1" applyAlignment="1">
      <alignment horizontal="center" vertical="center" wrapText="1"/>
    </xf>
    <xf numFmtId="2" fontId="2" fillId="9" borderId="1" xfId="0" applyNumberFormat="1" applyFont="1" applyFill="1" applyBorder="1" applyAlignment="1">
      <alignment horizontal="center" vertical="center" wrapText="1"/>
    </xf>
    <xf numFmtId="0" fontId="25" fillId="0" borderId="1" xfId="0" applyFont="1" applyFill="1" applyBorder="1" applyAlignment="1">
      <alignment horizontal="left" vertical="center" wrapText="1"/>
    </xf>
    <xf numFmtId="0" fontId="2" fillId="0" borderId="2" xfId="0" applyFont="1" applyFill="1" applyBorder="1" applyAlignment="1">
      <alignment horizontal="center" vertical="center"/>
    </xf>
    <xf numFmtId="2" fontId="2" fillId="0" borderId="2" xfId="0" applyNumberFormat="1" applyFont="1" applyFill="1" applyBorder="1" applyAlignment="1">
      <alignment horizontal="center" vertical="center"/>
    </xf>
    <xf numFmtId="169" fontId="2" fillId="0" borderId="2" xfId="0" applyNumberFormat="1" applyFont="1" applyFill="1" applyBorder="1" applyAlignment="1">
      <alignment horizontal="center" vertical="center"/>
    </xf>
    <xf numFmtId="171" fontId="2" fillId="0" borderId="1" xfId="0" applyNumberFormat="1" applyFont="1" applyFill="1" applyBorder="1" applyAlignment="1">
      <alignment horizontal="center" vertical="center"/>
    </xf>
    <xf numFmtId="0" fontId="24" fillId="0" borderId="2" xfId="0" applyFont="1" applyFill="1" applyBorder="1" applyAlignment="1">
      <alignment vertical="top" wrapText="1"/>
    </xf>
    <xf numFmtId="0" fontId="24" fillId="0" borderId="2" xfId="0" applyFont="1" applyFill="1" applyBorder="1" applyAlignment="1">
      <alignment vertical="center" wrapText="1"/>
    </xf>
    <xf numFmtId="3" fontId="2" fillId="0" borderId="1"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0" fontId="2" fillId="0" borderId="3" xfId="0" applyFont="1" applyFill="1" applyBorder="1" applyAlignment="1">
      <alignment vertical="center" wrapText="1"/>
    </xf>
    <xf numFmtId="3" fontId="2" fillId="0" borderId="3"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167" fontId="2" fillId="0" borderId="3" xfId="0" applyNumberFormat="1" applyFont="1" applyFill="1" applyBorder="1" applyAlignment="1">
      <alignment horizontal="center" vertical="center"/>
    </xf>
    <xf numFmtId="0" fontId="5" fillId="4" borderId="10" xfId="0" applyFont="1" applyFill="1" applyBorder="1" applyAlignment="1">
      <alignment horizontal="left" vertical="center" wrapText="1"/>
    </xf>
    <xf numFmtId="3" fontId="2" fillId="4" borderId="3" xfId="0" applyNumberFormat="1" applyFont="1" applyFill="1" applyBorder="1" applyAlignment="1">
      <alignment horizontal="center" vertical="center"/>
    </xf>
    <xf numFmtId="4" fontId="2" fillId="4" borderId="3" xfId="0" applyNumberFormat="1" applyFont="1" applyFill="1" applyBorder="1" applyAlignment="1">
      <alignment horizontal="center" vertical="center"/>
    </xf>
    <xf numFmtId="0" fontId="2" fillId="4" borderId="3" xfId="0" applyFont="1" applyFill="1" applyBorder="1" applyAlignment="1">
      <alignment vertical="center" wrapText="1"/>
    </xf>
    <xf numFmtId="166" fontId="2" fillId="0" borderId="3" xfId="0" applyNumberFormat="1" applyFont="1" applyFill="1" applyBorder="1" applyAlignment="1">
      <alignment horizontal="center" vertical="center"/>
    </xf>
    <xf numFmtId="166" fontId="2" fillId="4" borderId="3" xfId="0" applyNumberFormat="1" applyFont="1" applyFill="1" applyBorder="1" applyAlignment="1">
      <alignment horizontal="center" vertical="center"/>
    </xf>
    <xf numFmtId="171" fontId="2" fillId="0" borderId="3" xfId="0" applyNumberFormat="1" applyFont="1" applyFill="1" applyBorder="1" applyAlignment="1">
      <alignment horizontal="center" vertical="center"/>
    </xf>
    <xf numFmtId="0" fontId="2" fillId="7" borderId="5" xfId="0" applyFont="1" applyFill="1" applyBorder="1" applyAlignment="1">
      <alignment vertical="center" wrapText="1"/>
    </xf>
    <xf numFmtId="0" fontId="2" fillId="0" borderId="12" xfId="0" applyFont="1" applyFill="1" applyBorder="1" applyAlignment="1">
      <alignment horizontal="center" vertical="center" wrapText="1"/>
    </xf>
    <xf numFmtId="0" fontId="2" fillId="7" borderId="1" xfId="0" applyFont="1" applyFill="1" applyBorder="1" applyAlignment="1">
      <alignment vertical="center" wrapText="1"/>
    </xf>
    <xf numFmtId="1" fontId="2" fillId="0" borderId="2" xfId="0" applyNumberFormat="1"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0" fontId="5" fillId="4" borderId="1" xfId="0" applyFont="1" applyFill="1" applyBorder="1" applyAlignment="1">
      <alignment vertical="top" wrapText="1"/>
    </xf>
    <xf numFmtId="0" fontId="5" fillId="4" borderId="1" xfId="0" applyFont="1" applyFill="1" applyBorder="1" applyAlignment="1">
      <alignment horizontal="center" vertical="center" wrapText="1"/>
    </xf>
    <xf numFmtId="4" fontId="5" fillId="4" borderId="1" xfId="0" applyNumberFormat="1" applyFont="1" applyFill="1" applyBorder="1" applyAlignment="1">
      <alignment horizontal="center" vertical="center" wrapText="1"/>
    </xf>
    <xf numFmtId="2" fontId="5" fillId="4"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2" fillId="4" borderId="9" xfId="0" applyFont="1" applyFill="1" applyBorder="1" applyAlignment="1">
      <alignment horizontal="left" vertical="top" wrapText="1"/>
    </xf>
    <xf numFmtId="0" fontId="2" fillId="4" borderId="3" xfId="0" applyFont="1" applyFill="1" applyBorder="1" applyAlignment="1">
      <alignment horizontal="center" vertical="center" wrapText="1"/>
    </xf>
    <xf numFmtId="4" fontId="2" fillId="4" borderId="3" xfId="0" applyNumberFormat="1" applyFont="1" applyFill="1" applyBorder="1" applyAlignment="1">
      <alignment horizontal="center" vertical="center" wrapText="1"/>
    </xf>
    <xf numFmtId="0" fontId="2" fillId="4" borderId="13" xfId="0" applyFont="1" applyFill="1" applyBorder="1" applyAlignment="1">
      <alignment horizontal="left" vertical="top" wrapText="1"/>
    </xf>
    <xf numFmtId="0" fontId="2" fillId="4" borderId="13" xfId="0" applyFont="1" applyFill="1" applyBorder="1" applyAlignment="1">
      <alignment horizontal="center" vertical="center" wrapText="1"/>
    </xf>
    <xf numFmtId="0" fontId="30" fillId="4" borderId="13" xfId="0" applyFont="1" applyFill="1" applyBorder="1" applyAlignment="1">
      <alignment horizontal="center" vertical="center" wrapText="1"/>
    </xf>
    <xf numFmtId="167" fontId="2" fillId="0" borderId="3" xfId="0" applyNumberFormat="1" applyFont="1" applyFill="1" applyBorder="1" applyAlignment="1">
      <alignment horizontal="center" vertical="center" wrapText="1"/>
    </xf>
    <xf numFmtId="0" fontId="2" fillId="4" borderId="9" xfId="0" applyFont="1" applyFill="1" applyBorder="1" applyAlignment="1">
      <alignment vertical="top" wrapText="1"/>
    </xf>
    <xf numFmtId="49" fontId="2" fillId="4" borderId="3" xfId="0" applyNumberFormat="1" applyFont="1" applyFill="1" applyBorder="1" applyAlignment="1">
      <alignment horizontal="center" vertical="top" wrapText="1"/>
    </xf>
    <xf numFmtId="4" fontId="2" fillId="0" borderId="3" xfId="0" applyNumberFormat="1" applyFont="1" applyFill="1" applyBorder="1" applyAlignment="1">
      <alignment horizontal="center" vertical="center" wrapText="1"/>
    </xf>
    <xf numFmtId="49" fontId="5" fillId="4" borderId="5" xfId="0" applyNumberFormat="1" applyFont="1" applyFill="1" applyBorder="1" applyAlignment="1">
      <alignment horizontal="center" vertical="top" wrapText="1"/>
    </xf>
    <xf numFmtId="0" fontId="5" fillId="4" borderId="5" xfId="0" applyFont="1" applyFill="1" applyBorder="1" applyAlignment="1">
      <alignment vertical="top" wrapText="1"/>
    </xf>
    <xf numFmtId="0" fontId="5" fillId="4" borderId="5" xfId="0" applyFont="1" applyFill="1" applyBorder="1" applyAlignment="1">
      <alignment horizontal="center" vertical="center" wrapText="1"/>
    </xf>
    <xf numFmtId="4" fontId="5" fillId="4" borderId="5"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4" fontId="2" fillId="0" borderId="4" xfId="0" applyNumberFormat="1" applyFont="1" applyFill="1" applyBorder="1" applyAlignment="1">
      <alignment horizontal="center" vertical="center" wrapText="1"/>
    </xf>
    <xf numFmtId="4" fontId="2" fillId="4" borderId="4" xfId="0" applyNumberFormat="1" applyFont="1" applyFill="1" applyBorder="1" applyAlignment="1">
      <alignment horizontal="center" vertical="center" wrapText="1"/>
    </xf>
    <xf numFmtId="0" fontId="2" fillId="4" borderId="1" xfId="0" applyFont="1" applyFill="1" applyBorder="1" applyAlignment="1">
      <alignment horizontal="left" wrapText="1"/>
    </xf>
    <xf numFmtId="173" fontId="65" fillId="4" borderId="1" xfId="0" applyNumberFormat="1" applyFont="1" applyFill="1" applyBorder="1" applyAlignment="1" applyProtection="1">
      <alignment horizontal="center" vertical="top" wrapText="1"/>
    </xf>
    <xf numFmtId="49" fontId="66" fillId="0" borderId="1" xfId="0" applyNumberFormat="1" applyFont="1" applyFill="1" applyBorder="1" applyAlignment="1" applyProtection="1">
      <alignment horizontal="center" vertical="top" wrapText="1"/>
    </xf>
    <xf numFmtId="0" fontId="66" fillId="0" borderId="1" xfId="0" applyFont="1" applyFill="1" applyBorder="1" applyAlignment="1" applyProtection="1">
      <alignment horizontal="left" vertical="top" wrapText="1"/>
    </xf>
    <xf numFmtId="173" fontId="66" fillId="0" borderId="1" xfId="0" applyNumberFormat="1" applyFont="1" applyFill="1" applyBorder="1" applyAlignment="1" applyProtection="1">
      <alignment horizontal="center" vertical="top" wrapText="1"/>
    </xf>
    <xf numFmtId="0" fontId="66" fillId="0" borderId="1" xfId="0" applyFont="1" applyFill="1" applyBorder="1" applyAlignment="1" applyProtection="1">
      <alignment vertical="top" wrapText="1"/>
    </xf>
    <xf numFmtId="49" fontId="65" fillId="4" borderId="0" xfId="0" applyNumberFormat="1" applyFont="1" applyFill="1" applyAlignment="1" applyProtection="1">
      <alignment horizontal="center" vertical="top" wrapText="1"/>
    </xf>
    <xf numFmtId="0" fontId="65" fillId="4" borderId="0" xfId="0" applyFont="1" applyFill="1" applyAlignment="1" applyProtection="1">
      <alignment vertical="top" wrapText="1"/>
    </xf>
    <xf numFmtId="173" fontId="65" fillId="4" borderId="0" xfId="0" applyNumberFormat="1" applyFont="1" applyFill="1" applyAlignment="1" applyProtection="1">
      <alignment vertical="top" wrapText="1"/>
    </xf>
    <xf numFmtId="173" fontId="65" fillId="4" borderId="0" xfId="0" applyNumberFormat="1" applyFont="1" applyFill="1" applyAlignment="1" applyProtection="1">
      <alignment horizontal="right" vertical="top" wrapText="1"/>
    </xf>
    <xf numFmtId="173" fontId="70" fillId="4" borderId="0" xfId="0" applyNumberFormat="1" applyFont="1" applyFill="1" applyAlignment="1" applyProtection="1">
      <alignment horizontal="right" vertical="top" wrapText="1"/>
    </xf>
    <xf numFmtId="173" fontId="71" fillId="4" borderId="0" xfId="3" applyNumberFormat="1" applyFont="1" applyFill="1" applyAlignment="1" applyProtection="1">
      <alignment horizontal="center" vertical="center" wrapText="1"/>
    </xf>
    <xf numFmtId="173" fontId="65" fillId="4" borderId="0" xfId="3" applyNumberFormat="1" applyFont="1" applyFill="1" applyAlignment="1" applyProtection="1">
      <alignment horizontal="center" vertical="center"/>
    </xf>
    <xf numFmtId="173" fontId="69" fillId="4" borderId="0" xfId="3" applyNumberFormat="1" applyFont="1" applyFill="1" applyAlignment="1" applyProtection="1">
      <alignment horizontal="center" vertical="center" wrapText="1"/>
    </xf>
    <xf numFmtId="173" fontId="65" fillId="4" borderId="0" xfId="3" applyNumberFormat="1" applyFont="1" applyFill="1" applyAlignment="1" applyProtection="1">
      <alignment horizontal="center" vertical="center" wrapText="1"/>
    </xf>
    <xf numFmtId="0" fontId="72" fillId="4" borderId="0" xfId="0" applyFont="1" applyFill="1" applyProtection="1"/>
    <xf numFmtId="0" fontId="72" fillId="0" borderId="0" xfId="0" applyFont="1" applyProtection="1"/>
    <xf numFmtId="0" fontId="73" fillId="0" borderId="0" xfId="0" applyFont="1" applyProtection="1"/>
    <xf numFmtId="173" fontId="66" fillId="0" borderId="1" xfId="0" applyNumberFormat="1" applyFont="1" applyFill="1" applyBorder="1" applyAlignment="1" applyProtection="1">
      <alignment horizontal="center" vertical="center"/>
    </xf>
    <xf numFmtId="173" fontId="66" fillId="0" borderId="25" xfId="0" applyNumberFormat="1" applyFont="1" applyFill="1" applyBorder="1" applyAlignment="1" applyProtection="1">
      <alignment horizontal="center" vertical="center"/>
    </xf>
    <xf numFmtId="173" fontId="66" fillId="0" borderId="2" xfId="0" applyNumberFormat="1" applyFont="1" applyFill="1" applyBorder="1" applyAlignment="1" applyProtection="1">
      <alignment horizontal="center" vertical="center"/>
    </xf>
    <xf numFmtId="173" fontId="66" fillId="0" borderId="19" xfId="0" applyNumberFormat="1" applyFont="1" applyFill="1" applyBorder="1" applyAlignment="1" applyProtection="1">
      <alignment horizontal="center" vertical="center"/>
    </xf>
    <xf numFmtId="0" fontId="66" fillId="0" borderId="0" xfId="0" applyFont="1" applyFill="1" applyProtection="1"/>
    <xf numFmtId="0" fontId="73" fillId="0" borderId="0" xfId="0" applyFont="1" applyFill="1" applyProtection="1"/>
    <xf numFmtId="173" fontId="65" fillId="4" borderId="26" xfId="0" applyNumberFormat="1" applyFont="1" applyFill="1" applyBorder="1" applyAlignment="1" applyProtection="1">
      <alignment horizontal="center" vertical="center"/>
    </xf>
    <xf numFmtId="173" fontId="65" fillId="4" borderId="22" xfId="0" applyNumberFormat="1" applyFont="1" applyFill="1" applyBorder="1" applyAlignment="1" applyProtection="1">
      <alignment horizontal="center" vertical="center"/>
    </xf>
    <xf numFmtId="173" fontId="65" fillId="4" borderId="20" xfId="0" applyNumberFormat="1" applyFont="1" applyFill="1" applyBorder="1" applyAlignment="1" applyProtection="1">
      <alignment horizontal="center" vertical="center"/>
    </xf>
    <xf numFmtId="173" fontId="65" fillId="4" borderId="21" xfId="0" applyNumberFormat="1" applyFont="1" applyFill="1" applyBorder="1" applyAlignment="1" applyProtection="1">
      <alignment horizontal="center" vertical="center"/>
    </xf>
    <xf numFmtId="173" fontId="65" fillId="6" borderId="26" xfId="3" applyNumberFormat="1" applyFont="1" applyFill="1" applyBorder="1" applyAlignment="1" applyProtection="1">
      <alignment horizontal="center" vertical="center"/>
    </xf>
    <xf numFmtId="0" fontId="65" fillId="4" borderId="0" xfId="0" applyFont="1" applyFill="1" applyAlignment="1" applyProtection="1">
      <alignment vertical="top"/>
    </xf>
    <xf numFmtId="0" fontId="65" fillId="4" borderId="0" xfId="0" applyFont="1" applyFill="1" applyAlignment="1" applyProtection="1">
      <alignment horizontal="left" vertical="top"/>
    </xf>
    <xf numFmtId="173" fontId="65" fillId="4" borderId="0" xfId="0" applyNumberFormat="1" applyFont="1" applyFill="1" applyAlignment="1" applyProtection="1">
      <alignment horizontal="center" vertical="top"/>
    </xf>
    <xf numFmtId="173" fontId="65" fillId="4" borderId="0" xfId="0" applyNumberFormat="1" applyFont="1" applyFill="1" applyAlignment="1" applyProtection="1">
      <alignment vertical="top"/>
    </xf>
    <xf numFmtId="173" fontId="69" fillId="4" borderId="0" xfId="3" applyNumberFormat="1" applyFont="1" applyFill="1" applyAlignment="1" applyProtection="1">
      <alignment horizontal="center" vertical="center"/>
    </xf>
    <xf numFmtId="173" fontId="65" fillId="4" borderId="0" xfId="3" applyNumberFormat="1" applyFont="1" applyFill="1" applyBorder="1" applyAlignment="1" applyProtection="1">
      <alignment horizontal="center" vertical="center" wrapText="1"/>
    </xf>
    <xf numFmtId="0" fontId="66" fillId="4" borderId="0" xfId="0" applyFont="1" applyFill="1" applyAlignment="1" applyProtection="1">
      <alignment horizontal="left" vertical="center"/>
    </xf>
    <xf numFmtId="0" fontId="66" fillId="4" borderId="0" xfId="0" applyFont="1" applyFill="1" applyAlignment="1" applyProtection="1">
      <alignment horizontal="left"/>
    </xf>
    <xf numFmtId="173" fontId="66" fillId="4" borderId="0" xfId="0" applyNumberFormat="1" applyFont="1" applyFill="1" applyAlignment="1" applyProtection="1">
      <alignment vertical="top"/>
    </xf>
    <xf numFmtId="173" fontId="65" fillId="4" borderId="0" xfId="0" applyNumberFormat="1" applyFont="1" applyFill="1" applyProtection="1"/>
    <xf numFmtId="173" fontId="65" fillId="4" borderId="0" xfId="0" applyNumberFormat="1" applyFont="1" applyFill="1" applyAlignment="1" applyProtection="1">
      <alignment horizontal="right"/>
    </xf>
    <xf numFmtId="173" fontId="66" fillId="4" borderId="0" xfId="3" applyNumberFormat="1" applyFont="1" applyFill="1" applyAlignment="1" applyProtection="1">
      <alignment horizontal="center" vertical="center"/>
    </xf>
    <xf numFmtId="0" fontId="65" fillId="4" borderId="0" xfId="0" applyFont="1" applyFill="1" applyAlignment="1" applyProtection="1">
      <alignment horizontal="center" vertical="center"/>
    </xf>
    <xf numFmtId="0" fontId="65" fillId="4" borderId="0" xfId="0" applyFont="1" applyFill="1" applyAlignment="1" applyProtection="1">
      <alignment horizontal="left"/>
    </xf>
    <xf numFmtId="3" fontId="66" fillId="4" borderId="1" xfId="0" applyNumberFormat="1" applyFont="1" applyFill="1" applyBorder="1" applyAlignment="1" applyProtection="1">
      <alignment horizontal="center" vertical="center" wrapText="1"/>
    </xf>
    <xf numFmtId="173" fontId="65" fillId="4" borderId="1" xfId="0" applyNumberFormat="1" applyFont="1" applyFill="1" applyBorder="1" applyAlignment="1" applyProtection="1">
      <alignment horizontal="center" vertical="center" wrapText="1"/>
    </xf>
    <xf numFmtId="173" fontId="65" fillId="4" borderId="1" xfId="3" applyNumberFormat="1" applyFont="1" applyFill="1" applyBorder="1" applyAlignment="1" applyProtection="1">
      <alignment horizontal="center" vertical="center" wrapText="1"/>
    </xf>
    <xf numFmtId="2" fontId="74" fillId="4" borderId="0" xfId="0" applyNumberFormat="1" applyFont="1" applyFill="1" applyAlignment="1" applyProtection="1">
      <alignment horizontal="center" vertical="center"/>
    </xf>
    <xf numFmtId="173" fontId="3" fillId="4" borderId="1" xfId="0" applyNumberFormat="1" applyFont="1" applyFill="1" applyBorder="1" applyAlignment="1" applyProtection="1">
      <alignment horizontal="center" vertical="top"/>
    </xf>
    <xf numFmtId="173" fontId="75" fillId="4" borderId="0" xfId="3" applyNumberFormat="1" applyFont="1" applyFill="1" applyAlignment="1" applyProtection="1">
      <alignment horizontal="center" vertical="center" wrapText="1"/>
    </xf>
    <xf numFmtId="173" fontId="3" fillId="4" borderId="0" xfId="3" applyNumberFormat="1" applyFont="1" applyFill="1" applyAlignment="1" applyProtection="1">
      <alignment horizontal="center" vertical="center" wrapText="1"/>
    </xf>
    <xf numFmtId="2" fontId="76" fillId="4" borderId="0" xfId="0" applyNumberFormat="1" applyFont="1" applyFill="1" applyProtection="1"/>
    <xf numFmtId="0" fontId="74" fillId="4" borderId="0" xfId="0" applyFont="1" applyFill="1" applyBorder="1" applyAlignment="1" applyProtection="1">
      <alignment horizontal="left" vertical="center" wrapText="1"/>
    </xf>
    <xf numFmtId="0" fontId="11" fillId="4" borderId="0" xfId="0" applyFont="1" applyFill="1" applyAlignment="1" applyProtection="1">
      <alignment horizontal="left" vertical="top"/>
    </xf>
    <xf numFmtId="49" fontId="65" fillId="0" borderId="0" xfId="0" applyNumberFormat="1" applyFont="1" applyFill="1" applyAlignment="1" applyProtection="1">
      <alignment horizontal="center" vertical="top" wrapText="1"/>
    </xf>
    <xf numFmtId="0" fontId="65" fillId="0" borderId="0" xfId="0" applyFont="1" applyFill="1" applyAlignment="1" applyProtection="1">
      <alignment vertical="top" wrapText="1"/>
    </xf>
    <xf numFmtId="173" fontId="65" fillId="0" borderId="0" xfId="0" applyNumberFormat="1" applyFont="1" applyFill="1" applyAlignment="1" applyProtection="1">
      <alignment vertical="top" wrapText="1"/>
    </xf>
    <xf numFmtId="173" fontId="65" fillId="0" borderId="0" xfId="0" applyNumberFormat="1" applyFont="1" applyFill="1" applyAlignment="1" applyProtection="1">
      <alignment horizontal="right" vertical="top" wrapText="1"/>
    </xf>
    <xf numFmtId="173" fontId="70" fillId="0" borderId="0" xfId="0" applyNumberFormat="1" applyFont="1" applyFill="1" applyAlignment="1" applyProtection="1">
      <alignment horizontal="right" vertical="top" wrapText="1"/>
    </xf>
    <xf numFmtId="173" fontId="71" fillId="6" borderId="0" xfId="3" applyNumberFormat="1" applyFont="1" applyFill="1" applyAlignment="1" applyProtection="1">
      <alignment horizontal="center" vertical="center" wrapText="1"/>
    </xf>
    <xf numFmtId="173" fontId="65" fillId="0" borderId="0" xfId="3" applyNumberFormat="1" applyFont="1" applyFill="1" applyAlignment="1" applyProtection="1">
      <alignment horizontal="center" vertical="center" wrapText="1"/>
    </xf>
    <xf numFmtId="173" fontId="69" fillId="0" borderId="0" xfId="3" applyNumberFormat="1" applyFont="1" applyFill="1" applyAlignment="1" applyProtection="1">
      <alignment horizontal="center" vertical="center" wrapText="1"/>
    </xf>
    <xf numFmtId="49" fontId="65" fillId="0" borderId="1" xfId="0" applyNumberFormat="1" applyFont="1" applyFill="1" applyBorder="1" applyAlignment="1" applyProtection="1">
      <alignment horizontal="center" vertical="top" wrapText="1"/>
    </xf>
    <xf numFmtId="0" fontId="65" fillId="0" borderId="1" xfId="0" applyFont="1" applyFill="1" applyBorder="1" applyAlignment="1" applyProtection="1">
      <alignment horizontal="left" wrapText="1"/>
    </xf>
    <xf numFmtId="173" fontId="65" fillId="0" borderId="1" xfId="0" applyNumberFormat="1" applyFont="1" applyFill="1" applyBorder="1" applyAlignment="1" applyProtection="1">
      <alignment horizontal="center" vertical="top" wrapText="1"/>
    </xf>
    <xf numFmtId="173" fontId="65" fillId="0" borderId="25" xfId="0" applyNumberFormat="1" applyFont="1" applyFill="1" applyBorder="1" applyAlignment="1" applyProtection="1">
      <alignment horizontal="center" vertical="center"/>
    </xf>
    <xf numFmtId="173" fontId="65" fillId="0" borderId="2" xfId="0" applyNumberFormat="1" applyFont="1" applyFill="1" applyBorder="1" applyAlignment="1" applyProtection="1">
      <alignment horizontal="center" vertical="center"/>
    </xf>
    <xf numFmtId="173" fontId="65" fillId="0" borderId="2" xfId="3" applyNumberFormat="1" applyFont="1" applyFill="1" applyBorder="1" applyAlignment="1" applyProtection="1">
      <alignment horizontal="center" vertical="center"/>
    </xf>
    <xf numFmtId="173" fontId="65" fillId="0" borderId="19" xfId="3" applyNumberFormat="1" applyFont="1" applyFill="1" applyBorder="1" applyAlignment="1" applyProtection="1">
      <alignment horizontal="center" vertical="center"/>
    </xf>
    <xf numFmtId="0" fontId="72" fillId="0" borderId="0" xfId="0" applyFont="1" applyFill="1" applyProtection="1"/>
    <xf numFmtId="0" fontId="65" fillId="0" borderId="1" xfId="0" applyFont="1" applyFill="1" applyBorder="1" applyAlignment="1" applyProtection="1">
      <alignment horizontal="left" vertical="top" wrapText="1"/>
    </xf>
    <xf numFmtId="0" fontId="65" fillId="0" borderId="9" xfId="0" applyFont="1" applyFill="1" applyBorder="1" applyAlignment="1" applyProtection="1">
      <alignment vertical="top" wrapText="1"/>
    </xf>
    <xf numFmtId="173" fontId="77" fillId="4" borderId="0" xfId="0" applyNumberFormat="1" applyFont="1" applyFill="1" applyAlignment="1" applyProtection="1">
      <alignment horizontal="center" vertical="top" wrapText="1"/>
    </xf>
    <xf numFmtId="173" fontId="78" fillId="0" borderId="9" xfId="0" applyNumberFormat="1" applyFont="1" applyFill="1" applyBorder="1" applyAlignment="1" applyProtection="1">
      <alignment horizontal="center" vertical="center" wrapText="1"/>
    </xf>
    <xf numFmtId="173" fontId="77" fillId="0" borderId="9" xfId="0" applyNumberFormat="1" applyFont="1" applyFill="1" applyBorder="1" applyAlignment="1" applyProtection="1">
      <alignment horizontal="center" vertical="center" wrapText="1"/>
    </xf>
    <xf numFmtId="173" fontId="77" fillId="4" borderId="0" xfId="0" applyNumberFormat="1" applyFont="1" applyFill="1" applyAlignment="1" applyProtection="1">
      <alignment vertical="top"/>
    </xf>
    <xf numFmtId="173" fontId="78" fillId="4" borderId="0" xfId="0" applyNumberFormat="1" applyFont="1" applyFill="1" applyProtection="1"/>
    <xf numFmtId="173" fontId="77" fillId="4" borderId="0" xfId="0" applyNumberFormat="1" applyFont="1" applyFill="1" applyProtection="1"/>
    <xf numFmtId="173" fontId="77" fillId="4" borderId="1" xfId="0" applyNumberFormat="1" applyFont="1" applyFill="1" applyBorder="1" applyAlignment="1" applyProtection="1">
      <alignment horizontal="center" vertical="center" wrapText="1"/>
    </xf>
    <xf numFmtId="173" fontId="77" fillId="0" borderId="0" xfId="0" applyNumberFormat="1" applyFont="1" applyFill="1" applyAlignment="1" applyProtection="1">
      <alignment horizontal="center" vertical="top" wrapText="1"/>
    </xf>
    <xf numFmtId="173" fontId="74" fillId="4" borderId="1" xfId="0" applyNumberFormat="1" applyFont="1" applyFill="1" applyBorder="1" applyAlignment="1" applyProtection="1">
      <alignment horizontal="center" vertical="top"/>
    </xf>
    <xf numFmtId="164" fontId="74" fillId="4" borderId="1" xfId="0" applyNumberFormat="1" applyFont="1" applyFill="1" applyBorder="1" applyAlignment="1" applyProtection="1">
      <alignment vertical="top"/>
    </xf>
    <xf numFmtId="173" fontId="67" fillId="4" borderId="0" xfId="3" applyNumberFormat="1" applyFont="1" applyFill="1" applyAlignment="1" applyProtection="1">
      <alignment horizontal="center" vertical="center"/>
    </xf>
    <xf numFmtId="173" fontId="69" fillId="4" borderId="1" xfId="3" applyNumberFormat="1" applyFont="1" applyFill="1" applyBorder="1" applyAlignment="1" applyProtection="1">
      <alignment horizontal="center" vertical="center" wrapText="1"/>
    </xf>
    <xf numFmtId="164" fontId="79" fillId="4" borderId="1" xfId="3" applyNumberFormat="1" applyFont="1" applyFill="1" applyBorder="1" applyAlignment="1" applyProtection="1">
      <alignment horizontal="center" vertical="center" wrapText="1"/>
    </xf>
    <xf numFmtId="0" fontId="72" fillId="0" borderId="0" xfId="0" applyFont="1" applyAlignment="1" applyProtection="1">
      <alignment vertical="top"/>
    </xf>
    <xf numFmtId="0" fontId="69" fillId="0" borderId="0" xfId="0" applyFont="1" applyAlignment="1" applyProtection="1">
      <alignment vertical="top"/>
    </xf>
    <xf numFmtId="0" fontId="65" fillId="0" borderId="1" xfId="0" applyFont="1" applyFill="1" applyBorder="1" applyAlignment="1" applyProtection="1">
      <alignment vertical="top" wrapText="1"/>
    </xf>
    <xf numFmtId="173" fontId="65" fillId="0" borderId="1" xfId="3" applyNumberFormat="1" applyFont="1" applyFill="1" applyBorder="1" applyAlignment="1" applyProtection="1">
      <alignment horizontal="center" vertical="center"/>
    </xf>
    <xf numFmtId="174" fontId="72" fillId="0" borderId="0" xfId="0" applyNumberFormat="1" applyFont="1" applyProtection="1"/>
    <xf numFmtId="174" fontId="73" fillId="0" borderId="0" xfId="0" applyNumberFormat="1" applyFont="1" applyProtection="1"/>
    <xf numFmtId="174" fontId="72" fillId="0" borderId="0" xfId="0" applyNumberFormat="1" applyFont="1" applyFill="1" applyProtection="1"/>
    <xf numFmtId="49" fontId="66" fillId="0" borderId="5" xfId="0" applyNumberFormat="1" applyFont="1" applyFill="1" applyBorder="1" applyAlignment="1" applyProtection="1">
      <alignment horizontal="center" vertical="top" wrapText="1"/>
    </xf>
    <xf numFmtId="0" fontId="66" fillId="0" borderId="5" xfId="0" applyFont="1" applyFill="1" applyBorder="1" applyAlignment="1" applyProtection="1">
      <alignment vertical="top" wrapText="1"/>
    </xf>
    <xf numFmtId="173" fontId="66" fillId="0" borderId="5" xfId="0" applyNumberFormat="1" applyFont="1" applyFill="1" applyBorder="1" applyAlignment="1" applyProtection="1">
      <alignment horizontal="center" vertical="top" wrapText="1"/>
    </xf>
    <xf numFmtId="173" fontId="78" fillId="0" borderId="8" xfId="0" applyNumberFormat="1" applyFont="1" applyFill="1" applyBorder="1" applyAlignment="1" applyProtection="1">
      <alignment horizontal="center" vertical="center" wrapText="1"/>
    </xf>
    <xf numFmtId="173" fontId="66" fillId="0" borderId="25" xfId="3" applyNumberFormat="1" applyFont="1" applyFill="1" applyBorder="1" applyAlignment="1" applyProtection="1">
      <alignment horizontal="center" vertical="center"/>
    </xf>
    <xf numFmtId="173" fontId="66" fillId="0" borderId="2" xfId="3" applyNumberFormat="1" applyFont="1" applyFill="1" applyBorder="1" applyAlignment="1" applyProtection="1">
      <alignment horizontal="center" vertical="center"/>
    </xf>
    <xf numFmtId="173" fontId="66" fillId="0" borderId="1" xfId="3" applyNumberFormat="1" applyFont="1" applyFill="1" applyBorder="1" applyAlignment="1" applyProtection="1">
      <alignment horizontal="center" vertical="center"/>
    </xf>
    <xf numFmtId="173" fontId="66" fillId="0" borderId="19" xfId="3" applyNumberFormat="1" applyFont="1" applyFill="1" applyBorder="1" applyAlignment="1" applyProtection="1">
      <alignment horizontal="center" vertical="center"/>
    </xf>
    <xf numFmtId="173" fontId="65" fillId="0" borderId="1" xfId="0" applyNumberFormat="1" applyFont="1" applyFill="1" applyBorder="1" applyAlignment="1" applyProtection="1">
      <alignment horizontal="center" vertical="center"/>
    </xf>
    <xf numFmtId="173" fontId="65" fillId="0" borderId="19" xfId="0" applyNumberFormat="1" applyFont="1" applyFill="1" applyBorder="1" applyAlignment="1" applyProtection="1">
      <alignment horizontal="center" vertical="center"/>
    </xf>
    <xf numFmtId="173" fontId="65" fillId="0" borderId="2" xfId="0" applyNumberFormat="1" applyFont="1" applyFill="1" applyBorder="1" applyAlignment="1" applyProtection="1">
      <alignment horizontal="center" vertical="top" wrapText="1"/>
    </xf>
    <xf numFmtId="173" fontId="65" fillId="0" borderId="19" xfId="0" applyNumberFormat="1" applyFont="1" applyFill="1" applyBorder="1" applyAlignment="1" applyProtection="1">
      <alignment horizontal="center" vertical="top" wrapText="1"/>
    </xf>
    <xf numFmtId="173" fontId="65" fillId="0" borderId="2" xfId="3" applyNumberFormat="1" applyFont="1" applyFill="1" applyBorder="1" applyAlignment="1" applyProtection="1">
      <alignment horizontal="center" vertical="center" wrapText="1"/>
    </xf>
    <xf numFmtId="173" fontId="65" fillId="0" borderId="9" xfId="3" applyNumberFormat="1" applyFont="1" applyFill="1" applyBorder="1" applyAlignment="1" applyProtection="1">
      <alignment horizontal="center" vertical="center" wrapText="1"/>
    </xf>
    <xf numFmtId="173" fontId="65" fillId="0" borderId="19" xfId="3" applyNumberFormat="1" applyFont="1" applyFill="1" applyBorder="1" applyAlignment="1" applyProtection="1">
      <alignment horizontal="center" vertical="center" wrapText="1"/>
    </xf>
    <xf numFmtId="0" fontId="65" fillId="0" borderId="1" xfId="0" applyFont="1" applyFill="1" applyBorder="1" applyAlignment="1" applyProtection="1">
      <alignment horizontal="center" vertical="top" wrapText="1"/>
    </xf>
    <xf numFmtId="173" fontId="77" fillId="0" borderId="9" xfId="0" applyNumberFormat="1" applyFont="1" applyFill="1" applyBorder="1" applyAlignment="1" applyProtection="1">
      <alignment horizontal="center" vertical="top" wrapText="1"/>
    </xf>
    <xf numFmtId="173" fontId="65" fillId="0" borderId="25" xfId="0" applyNumberFormat="1" applyFont="1" applyFill="1" applyBorder="1" applyAlignment="1" applyProtection="1">
      <alignment horizontal="center" vertical="top" wrapText="1"/>
    </xf>
    <xf numFmtId="173" fontId="65" fillId="0" borderId="25" xfId="3" applyNumberFormat="1" applyFont="1" applyFill="1" applyBorder="1" applyAlignment="1" applyProtection="1">
      <alignment horizontal="center" vertical="center" wrapText="1"/>
    </xf>
    <xf numFmtId="173" fontId="77" fillId="0" borderId="13" xfId="0" applyNumberFormat="1" applyFont="1" applyFill="1" applyBorder="1" applyAlignment="1" applyProtection="1">
      <alignment horizontal="center" vertical="center" wrapText="1"/>
    </xf>
    <xf numFmtId="173" fontId="65" fillId="0" borderId="25" xfId="3" applyNumberFormat="1" applyFont="1" applyFill="1" applyBorder="1" applyAlignment="1" applyProtection="1">
      <alignment horizontal="center" vertical="center"/>
    </xf>
    <xf numFmtId="0" fontId="66" fillId="0" borderId="9" xfId="0" applyFont="1" applyFill="1" applyBorder="1" applyAlignment="1" applyProtection="1">
      <alignment horizontal="left" vertical="top" wrapText="1"/>
    </xf>
    <xf numFmtId="173" fontId="78" fillId="0" borderId="13" xfId="0" applyNumberFormat="1" applyFont="1" applyFill="1" applyBorder="1" applyAlignment="1" applyProtection="1">
      <alignment horizontal="center" vertical="center" wrapText="1"/>
    </xf>
    <xf numFmtId="0" fontId="66" fillId="0" borderId="13" xfId="0" applyFont="1" applyFill="1" applyBorder="1" applyAlignment="1" applyProtection="1">
      <alignment horizontal="left" vertical="top" wrapText="1"/>
    </xf>
    <xf numFmtId="173" fontId="66" fillId="0" borderId="13" xfId="0" applyNumberFormat="1" applyFont="1" applyFill="1" applyBorder="1" applyAlignment="1" applyProtection="1">
      <alignment horizontal="center" vertical="top" wrapText="1"/>
    </xf>
    <xf numFmtId="173" fontId="65" fillId="0" borderId="3" xfId="0" applyNumberFormat="1" applyFont="1" applyFill="1" applyBorder="1" applyAlignment="1" applyProtection="1">
      <alignment horizontal="center" vertical="top" wrapText="1"/>
    </xf>
    <xf numFmtId="173" fontId="65" fillId="0" borderId="13" xfId="0" applyNumberFormat="1" applyFont="1" applyFill="1" applyBorder="1" applyAlignment="1" applyProtection="1">
      <alignment horizontal="center" vertical="top" wrapText="1"/>
    </xf>
    <xf numFmtId="0" fontId="65" fillId="0" borderId="9" xfId="0" applyFont="1" applyFill="1" applyBorder="1" applyAlignment="1" applyProtection="1">
      <alignment horizontal="left" vertical="top" wrapText="1"/>
    </xf>
    <xf numFmtId="0" fontId="66" fillId="0" borderId="9" xfId="0" applyFont="1" applyFill="1" applyBorder="1" applyAlignment="1" applyProtection="1">
      <alignment vertical="top" wrapText="1"/>
    </xf>
    <xf numFmtId="173" fontId="66" fillId="0" borderId="3" xfId="0" applyNumberFormat="1" applyFont="1" applyFill="1" applyBorder="1" applyAlignment="1" applyProtection="1">
      <alignment horizontal="center" vertical="top" wrapText="1"/>
    </xf>
    <xf numFmtId="49" fontId="66" fillId="0" borderId="3" xfId="0" applyNumberFormat="1" applyFont="1" applyFill="1" applyBorder="1" applyAlignment="1" applyProtection="1">
      <alignment horizontal="center" vertical="top" wrapText="1"/>
    </xf>
    <xf numFmtId="0" fontId="66" fillId="0" borderId="3" xfId="0" applyFont="1" applyFill="1" applyBorder="1" applyAlignment="1" applyProtection="1">
      <alignment vertical="top" wrapText="1"/>
    </xf>
    <xf numFmtId="173" fontId="66" fillId="0" borderId="2" xfId="0" applyNumberFormat="1" applyFont="1" applyFill="1" applyBorder="1" applyAlignment="1" applyProtection="1">
      <alignment horizontal="right" vertical="center"/>
    </xf>
    <xf numFmtId="173" fontId="66" fillId="0" borderId="1" xfId="0" applyNumberFormat="1" applyFont="1" applyFill="1" applyBorder="1" applyAlignment="1" applyProtection="1">
      <alignment horizontal="right" vertical="center"/>
    </xf>
    <xf numFmtId="173" fontId="66" fillId="4" borderId="22" xfId="3" applyNumberFormat="1" applyFont="1" applyFill="1" applyBorder="1" applyAlignment="1" applyProtection="1">
      <alignment horizontal="center" vertical="center"/>
    </xf>
    <xf numFmtId="0" fontId="67" fillId="0" borderId="0" xfId="0" applyFont="1" applyFill="1" applyAlignment="1" applyProtection="1">
      <alignment horizontal="center" vertical="center" wrapText="1"/>
    </xf>
    <xf numFmtId="0" fontId="67" fillId="0" borderId="0" xfId="0" applyFont="1" applyFill="1" applyProtection="1"/>
    <xf numFmtId="164" fontId="79" fillId="4" borderId="1" xfId="0" applyNumberFormat="1" applyFont="1" applyFill="1" applyBorder="1" applyAlignment="1" applyProtection="1">
      <alignment horizontal="center" vertical="center" wrapText="1"/>
    </xf>
    <xf numFmtId="174" fontId="73" fillId="0" borderId="0" xfId="0" applyNumberFormat="1" applyFont="1" applyFill="1" applyProtection="1"/>
    <xf numFmtId="0" fontId="37" fillId="0" borderId="0" xfId="0" applyFont="1" applyAlignment="1">
      <alignment horizontal="justify"/>
    </xf>
    <xf numFmtId="0" fontId="37" fillId="0" borderId="0" xfId="0" applyFont="1"/>
    <xf numFmtId="0" fontId="39" fillId="0" borderId="0" xfId="0" applyFont="1" applyAlignment="1">
      <alignment horizontal="justify"/>
    </xf>
    <xf numFmtId="0" fontId="39" fillId="0" borderId="0" xfId="0" applyFont="1"/>
    <xf numFmtId="0" fontId="37" fillId="0" borderId="0" xfId="0" applyFont="1" applyAlignment="1"/>
    <xf numFmtId="0" fontId="0" fillId="0" borderId="0" xfId="0" applyAlignment="1"/>
    <xf numFmtId="0" fontId="15" fillId="0" borderId="0" xfId="0" applyFont="1" applyFill="1" applyBorder="1" applyAlignment="1">
      <alignment horizontal="center" vertical="top"/>
    </xf>
    <xf numFmtId="0" fontId="15" fillId="0" borderId="0" xfId="0" applyFont="1" applyFill="1" applyBorder="1" applyAlignment="1">
      <alignment horizontal="left" vertical="top" wrapText="1"/>
    </xf>
    <xf numFmtId="0" fontId="2" fillId="0" borderId="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 xfId="0" applyFont="1" applyFill="1" applyBorder="1" applyAlignment="1">
      <alignment horizontal="center" vertical="center" wrapText="1"/>
    </xf>
    <xf numFmtId="4" fontId="2" fillId="0" borderId="9" xfId="0" applyNumberFormat="1" applyFont="1" applyFill="1" applyBorder="1" applyAlignment="1">
      <alignment horizontal="center" vertical="center" wrapText="1"/>
    </xf>
    <xf numFmtId="4" fontId="2" fillId="0" borderId="14"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4" fontId="2" fillId="0" borderId="1" xfId="0" applyNumberFormat="1" applyFont="1" applyBorder="1" applyAlignment="1">
      <alignment horizontal="center" vertical="top" wrapText="1"/>
    </xf>
    <xf numFmtId="49" fontId="10" fillId="0" borderId="0" xfId="0" applyNumberFormat="1" applyFont="1" applyAlignment="1">
      <alignment horizontal="center" vertical="top" wrapText="1"/>
    </xf>
    <xf numFmtId="49"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4" fontId="2" fillId="0" borderId="1" xfId="0" applyNumberFormat="1" applyFont="1" applyBorder="1" applyAlignment="1">
      <alignment horizontal="right" vertical="top" wrapText="1"/>
    </xf>
    <xf numFmtId="4" fontId="2" fillId="0" borderId="1" xfId="0" applyNumberFormat="1" applyFont="1" applyFill="1" applyBorder="1" applyAlignment="1">
      <alignment horizontal="center" vertical="top" wrapText="1"/>
    </xf>
    <xf numFmtId="49" fontId="5" fillId="0" borderId="1" xfId="0" applyNumberFormat="1" applyFont="1" applyBorder="1" applyAlignment="1">
      <alignment horizontal="left" vertical="top" wrapText="1"/>
    </xf>
    <xf numFmtId="0" fontId="5" fillId="4" borderId="9" xfId="0" applyFont="1" applyFill="1" applyBorder="1" applyAlignment="1">
      <alignment horizontal="left" vertical="top" wrapText="1"/>
    </xf>
    <xf numFmtId="0" fontId="5" fillId="4" borderId="14" xfId="0" applyFont="1" applyFill="1" applyBorder="1" applyAlignment="1">
      <alignment horizontal="left" vertical="top" wrapText="1"/>
    </xf>
    <xf numFmtId="0" fontId="5" fillId="4" borderId="2" xfId="0" applyFont="1" applyFill="1" applyBorder="1" applyAlignment="1">
      <alignment horizontal="left" vertical="top" wrapText="1"/>
    </xf>
    <xf numFmtId="0" fontId="24" fillId="4" borderId="9" xfId="0" applyFont="1" applyFill="1" applyBorder="1" applyAlignment="1">
      <alignment horizontal="left" vertical="top" wrapText="1"/>
    </xf>
    <xf numFmtId="0" fontId="24" fillId="4" borderId="14" xfId="0" applyFont="1" applyFill="1" applyBorder="1" applyAlignment="1">
      <alignment horizontal="left" vertical="top" wrapText="1"/>
    </xf>
    <xf numFmtId="0" fontId="24" fillId="4" borderId="2" xfId="0" applyFont="1" applyFill="1" applyBorder="1" applyAlignment="1">
      <alignment horizontal="left" vertical="top" wrapText="1"/>
    </xf>
    <xf numFmtId="0" fontId="5" fillId="4" borderId="8" xfId="0" applyFont="1" applyFill="1" applyBorder="1" applyAlignment="1">
      <alignment horizontal="left" vertical="top" wrapText="1"/>
    </xf>
    <xf numFmtId="0" fontId="5" fillId="4" borderId="15" xfId="0" applyFont="1" applyFill="1" applyBorder="1" applyAlignment="1">
      <alignment horizontal="left" vertical="top" wrapText="1"/>
    </xf>
    <xf numFmtId="0" fontId="24" fillId="4" borderId="8" xfId="0" applyFont="1" applyFill="1" applyBorder="1" applyAlignment="1">
      <alignment horizontal="left" vertical="top" wrapText="1"/>
    </xf>
    <xf numFmtId="0" fontId="24" fillId="4" borderId="15" xfId="0" applyFont="1" applyFill="1" applyBorder="1" applyAlignment="1">
      <alignment horizontal="left" vertical="top" wrapText="1"/>
    </xf>
    <xf numFmtId="0" fontId="24" fillId="4" borderId="12" xfId="0" applyFont="1" applyFill="1" applyBorder="1" applyAlignment="1">
      <alignment horizontal="left" vertical="top" wrapText="1"/>
    </xf>
    <xf numFmtId="0" fontId="38" fillId="4" borderId="9" xfId="0" applyFont="1" applyFill="1" applyBorder="1" applyAlignment="1">
      <alignment horizontal="left" vertical="center" wrapText="1"/>
    </xf>
    <xf numFmtId="0" fontId="38" fillId="4" borderId="14" xfId="0" applyFont="1" applyFill="1" applyBorder="1" applyAlignment="1">
      <alignment horizontal="left" vertical="center" wrapText="1"/>
    </xf>
    <xf numFmtId="0" fontId="38" fillId="4" borderId="2" xfId="0" applyFont="1" applyFill="1" applyBorder="1" applyAlignment="1">
      <alignment horizontal="left" vertical="center" wrapText="1"/>
    </xf>
    <xf numFmtId="0" fontId="24" fillId="4" borderId="9" xfId="0" applyFont="1" applyFill="1" applyBorder="1" applyAlignment="1">
      <alignment horizontal="left" vertical="center" wrapText="1"/>
    </xf>
    <xf numFmtId="0" fontId="24" fillId="4" borderId="14" xfId="0" applyFont="1" applyFill="1" applyBorder="1" applyAlignment="1">
      <alignment horizontal="left" vertical="center" wrapText="1"/>
    </xf>
    <xf numFmtId="0" fontId="24" fillId="4" borderId="2" xfId="0" applyFont="1" applyFill="1" applyBorder="1" applyAlignment="1">
      <alignment horizontal="left" vertical="center" wrapText="1"/>
    </xf>
    <xf numFmtId="0" fontId="22" fillId="4" borderId="2" xfId="0" applyFont="1" applyFill="1" applyBorder="1" applyAlignment="1">
      <alignment horizontal="left" vertical="top" wrapText="1"/>
    </xf>
    <xf numFmtId="0" fontId="22" fillId="4" borderId="1" xfId="0" applyFont="1" applyFill="1" applyBorder="1" applyAlignment="1">
      <alignment horizontal="left" vertical="top" wrapText="1"/>
    </xf>
    <xf numFmtId="49" fontId="24" fillId="4" borderId="2" xfId="0" applyNumberFormat="1" applyFont="1" applyFill="1" applyBorder="1" applyAlignment="1">
      <alignment horizontal="left" vertical="top" wrapText="1"/>
    </xf>
    <xf numFmtId="49" fontId="24" fillId="4" borderId="1" xfId="0" applyNumberFormat="1" applyFont="1" applyFill="1" applyBorder="1" applyAlignment="1">
      <alignment horizontal="left" vertical="top" wrapText="1"/>
    </xf>
    <xf numFmtId="0" fontId="24" fillId="4" borderId="13" xfId="0" applyFont="1" applyFill="1" applyBorder="1" applyAlignment="1">
      <alignment horizontal="left" vertical="top" wrapText="1"/>
    </xf>
    <xf numFmtId="0" fontId="24" fillId="4" borderId="7" xfId="0" applyFont="1" applyFill="1" applyBorder="1" applyAlignment="1">
      <alignment horizontal="left" vertical="top" wrapText="1"/>
    </xf>
    <xf numFmtId="0" fontId="24" fillId="4" borderId="10" xfId="0" applyFont="1" applyFill="1" applyBorder="1" applyAlignment="1">
      <alignment horizontal="left" vertical="top" wrapText="1"/>
    </xf>
    <xf numFmtId="0" fontId="38" fillId="4" borderId="13" xfId="0" applyFont="1" applyFill="1" applyBorder="1" applyAlignment="1">
      <alignment horizontal="left"/>
    </xf>
    <xf numFmtId="0" fontId="38" fillId="4" borderId="7" xfId="0" applyFont="1" applyFill="1" applyBorder="1" applyAlignment="1">
      <alignment horizontal="left"/>
    </xf>
    <xf numFmtId="0" fontId="38" fillId="4" borderId="0" xfId="0" applyFont="1" applyFill="1" applyBorder="1" applyAlignment="1">
      <alignment horizontal="left"/>
    </xf>
    <xf numFmtId="0" fontId="38" fillId="4" borderId="10" xfId="0" applyFont="1" applyFill="1" applyBorder="1" applyAlignment="1">
      <alignment horizontal="left"/>
    </xf>
    <xf numFmtId="0" fontId="5" fillId="4" borderId="0" xfId="0" applyFont="1" applyFill="1" applyBorder="1" applyAlignment="1">
      <alignment horizontal="center" vertical="top"/>
    </xf>
    <xf numFmtId="49" fontId="5" fillId="4" borderId="1" xfId="0" applyNumberFormat="1" applyFont="1" applyFill="1" applyBorder="1" applyAlignment="1">
      <alignment horizontal="center" vertical="top" wrapText="1"/>
    </xf>
    <xf numFmtId="0" fontId="5" fillId="4" borderId="1" xfId="0" applyFont="1" applyFill="1" applyBorder="1" applyAlignment="1">
      <alignment horizontal="center" vertical="top" wrapText="1"/>
    </xf>
    <xf numFmtId="3" fontId="5" fillId="4" borderId="1" xfId="0" applyNumberFormat="1" applyFont="1" applyFill="1" applyBorder="1" applyAlignment="1">
      <alignment horizontal="center" vertical="top" wrapText="1"/>
    </xf>
    <xf numFmtId="0" fontId="5" fillId="4" borderId="1" xfId="0" applyFont="1" applyFill="1" applyBorder="1" applyAlignment="1">
      <alignment horizontal="left" vertical="top" wrapText="1"/>
    </xf>
    <xf numFmtId="0" fontId="38" fillId="4" borderId="9" xfId="0" applyFont="1" applyFill="1" applyBorder="1" applyAlignment="1">
      <alignment vertical="center" wrapText="1"/>
    </xf>
    <xf numFmtId="0" fontId="38" fillId="4" borderId="14" xfId="0" applyFont="1" applyFill="1" applyBorder="1" applyAlignment="1">
      <alignment vertical="center" wrapText="1"/>
    </xf>
    <xf numFmtId="0" fontId="38" fillId="4" borderId="2" xfId="0" applyFont="1" applyFill="1" applyBorder="1" applyAlignment="1">
      <alignment vertical="center" wrapText="1"/>
    </xf>
    <xf numFmtId="0" fontId="24" fillId="4" borderId="1" xfId="0" applyFont="1" applyFill="1" applyBorder="1" applyAlignment="1">
      <alignment horizontal="left" vertical="top" wrapText="1"/>
    </xf>
    <xf numFmtId="0" fontId="38" fillId="4" borderId="9" xfId="0" applyFont="1" applyFill="1" applyBorder="1" applyAlignment="1">
      <alignment vertical="top" wrapText="1"/>
    </xf>
    <xf numFmtId="0" fontId="38" fillId="4" borderId="14" xfId="0" applyFont="1" applyFill="1" applyBorder="1" applyAlignment="1">
      <alignment vertical="top" wrapText="1"/>
    </xf>
    <xf numFmtId="0" fontId="38" fillId="4" borderId="2" xfId="0" applyFont="1" applyFill="1" applyBorder="1" applyAlignment="1">
      <alignment vertical="top" wrapText="1"/>
    </xf>
    <xf numFmtId="49" fontId="5" fillId="0" borderId="1" xfId="0" applyNumberFormat="1" applyFont="1" applyFill="1" applyBorder="1" applyAlignment="1">
      <alignment horizontal="left" vertical="top" wrapText="1"/>
    </xf>
    <xf numFmtId="49" fontId="10" fillId="0" borderId="0" xfId="0" applyNumberFormat="1" applyFont="1" applyFill="1" applyAlignment="1">
      <alignment horizontal="center" vertical="top" wrapText="1"/>
    </xf>
    <xf numFmtId="49"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4" fontId="2" fillId="0" borderId="1" xfId="0" applyNumberFormat="1" applyFont="1" applyFill="1" applyBorder="1" applyAlignment="1">
      <alignment horizontal="right" vertical="top" wrapText="1"/>
    </xf>
    <xf numFmtId="4" fontId="2" fillId="0" borderId="3" xfId="0" applyNumberFormat="1" applyFont="1" applyFill="1" applyBorder="1" applyAlignment="1">
      <alignment horizontal="center" vertical="top" wrapText="1"/>
    </xf>
    <xf numFmtId="0" fontId="24" fillId="6" borderId="9" xfId="0" applyFont="1" applyFill="1" applyBorder="1" applyAlignment="1">
      <alignment horizontal="left" vertical="top" wrapText="1"/>
    </xf>
    <xf numFmtId="0" fontId="24" fillId="6" borderId="14" xfId="0" applyFont="1" applyFill="1" applyBorder="1" applyAlignment="1">
      <alignment horizontal="left" vertical="top" wrapText="1"/>
    </xf>
    <xf numFmtId="0" fontId="24" fillId="6" borderId="2" xfId="0" applyFont="1" applyFill="1" applyBorder="1" applyAlignment="1">
      <alignment horizontal="left" vertical="top" wrapText="1"/>
    </xf>
    <xf numFmtId="0" fontId="5" fillId="6" borderId="8" xfId="0" applyFont="1" applyFill="1" applyBorder="1" applyAlignment="1">
      <alignment horizontal="left" vertical="top" wrapText="1"/>
    </xf>
    <xf numFmtId="0" fontId="5" fillId="6" borderId="15" xfId="0" applyFont="1" applyFill="1" applyBorder="1" applyAlignment="1">
      <alignment horizontal="left" vertical="top" wrapText="1"/>
    </xf>
    <xf numFmtId="0" fontId="5" fillId="6" borderId="14" xfId="0" applyFont="1" applyFill="1" applyBorder="1" applyAlignment="1">
      <alignment horizontal="left" vertical="top" wrapText="1"/>
    </xf>
    <xf numFmtId="0" fontId="5" fillId="6" borderId="2" xfId="0" applyFont="1" applyFill="1" applyBorder="1" applyAlignment="1">
      <alignment horizontal="left" vertical="top" wrapText="1"/>
    </xf>
    <xf numFmtId="0" fontId="24" fillId="0" borderId="9" xfId="0" applyFont="1" applyFill="1" applyBorder="1" applyAlignment="1">
      <alignment horizontal="left" vertical="top" wrapText="1"/>
    </xf>
    <xf numFmtId="0" fontId="24" fillId="0" borderId="14" xfId="0" applyFont="1" applyFill="1" applyBorder="1" applyAlignment="1">
      <alignment horizontal="left" vertical="top" wrapText="1"/>
    </xf>
    <xf numFmtId="0" fontId="24" fillId="0" borderId="2" xfId="0" applyFont="1" applyFill="1" applyBorder="1" applyAlignment="1">
      <alignment horizontal="left" vertical="top" wrapText="1"/>
    </xf>
    <xf numFmtId="0" fontId="24" fillId="0" borderId="1" xfId="0" applyFont="1" applyFill="1" applyBorder="1" applyAlignment="1">
      <alignment horizontal="left" vertical="top" wrapText="1"/>
    </xf>
    <xf numFmtId="0" fontId="24" fillId="0" borderId="15" xfId="0" applyFont="1" applyFill="1" applyBorder="1" applyAlignment="1">
      <alignment horizontal="left" vertical="top" wrapText="1"/>
    </xf>
    <xf numFmtId="0" fontId="24" fillId="0" borderId="12" xfId="0" applyFont="1" applyFill="1" applyBorder="1" applyAlignment="1">
      <alignment horizontal="left" vertical="top" wrapText="1"/>
    </xf>
    <xf numFmtId="0" fontId="5" fillId="6" borderId="9" xfId="0" applyFont="1" applyFill="1" applyBorder="1" applyAlignment="1">
      <alignment horizontal="left" vertical="top" wrapText="1"/>
    </xf>
    <xf numFmtId="0" fontId="24" fillId="0" borderId="13" xfId="0" applyFont="1" applyFill="1" applyBorder="1" applyAlignment="1">
      <alignment horizontal="left" vertical="top" wrapText="1"/>
    </xf>
    <xf numFmtId="0" fontId="24" fillId="0" borderId="7" xfId="0" applyFont="1" applyFill="1" applyBorder="1" applyAlignment="1">
      <alignment horizontal="left" vertical="top" wrapText="1"/>
    </xf>
    <xf numFmtId="0" fontId="24" fillId="0" borderId="10" xfId="0" applyFont="1" applyFill="1" applyBorder="1" applyAlignment="1">
      <alignment horizontal="left" vertical="top" wrapText="1"/>
    </xf>
    <xf numFmtId="49" fontId="24" fillId="0" borderId="2" xfId="0" applyNumberFormat="1" applyFont="1" applyFill="1" applyBorder="1" applyAlignment="1">
      <alignment horizontal="left" vertical="top" wrapText="1"/>
    </xf>
    <xf numFmtId="49" fontId="24" fillId="0" borderId="1" xfId="0" applyNumberFormat="1" applyFont="1" applyFill="1" applyBorder="1" applyAlignment="1">
      <alignment horizontal="left" vertical="top" wrapText="1"/>
    </xf>
    <xf numFmtId="0" fontId="38" fillId="0" borderId="13" xfId="0" applyFont="1" applyFill="1" applyBorder="1" applyAlignment="1">
      <alignment horizontal="left" vertical="top"/>
    </xf>
    <xf numFmtId="0" fontId="38" fillId="0" borderId="7" xfId="0" applyFont="1" applyFill="1" applyBorder="1" applyAlignment="1">
      <alignment horizontal="left" vertical="top"/>
    </xf>
    <xf numFmtId="0" fontId="38" fillId="0" borderId="0" xfId="0" applyFont="1" applyFill="1" applyBorder="1" applyAlignment="1">
      <alignment horizontal="left" vertical="top"/>
    </xf>
    <xf numFmtId="0" fontId="38" fillId="0" borderId="10" xfId="0" applyFont="1" applyFill="1" applyBorder="1" applyAlignment="1">
      <alignment horizontal="left" vertical="top"/>
    </xf>
    <xf numFmtId="0" fontId="5" fillId="0" borderId="0" xfId="0" applyFont="1" applyFill="1" applyBorder="1" applyAlignment="1">
      <alignment horizontal="center" vertical="top"/>
    </xf>
    <xf numFmtId="0" fontId="5" fillId="0" borderId="1" xfId="0" applyFont="1" applyFill="1" applyBorder="1" applyAlignment="1">
      <alignment horizontal="center" vertical="top" wrapText="1"/>
    </xf>
    <xf numFmtId="0" fontId="2" fillId="4" borderId="9"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2" xfId="0" applyFont="1" applyFill="1" applyBorder="1" applyAlignment="1">
      <alignment horizontal="center" vertical="center" wrapText="1"/>
    </xf>
    <xf numFmtId="4" fontId="2" fillId="4" borderId="9" xfId="0" applyNumberFormat="1" applyFont="1" applyFill="1" applyBorder="1" applyAlignment="1">
      <alignment horizontal="center" vertical="center" wrapText="1"/>
    </xf>
    <xf numFmtId="4" fontId="2" fillId="4" borderId="14" xfId="0" applyNumberFormat="1" applyFont="1" applyFill="1" applyBorder="1" applyAlignment="1">
      <alignment horizontal="center" vertical="center" wrapText="1"/>
    </xf>
    <xf numFmtId="4" fontId="2" fillId="4" borderId="2" xfId="0" applyNumberFormat="1" applyFont="1" applyFill="1" applyBorder="1" applyAlignment="1">
      <alignment horizontal="center" vertical="center" wrapText="1"/>
    </xf>
    <xf numFmtId="49" fontId="10" fillId="4" borderId="0" xfId="0" applyNumberFormat="1" applyFont="1" applyFill="1" applyAlignment="1">
      <alignment horizontal="center" vertical="top" wrapText="1"/>
    </xf>
    <xf numFmtId="49" fontId="2" fillId="4" borderId="1" xfId="0" applyNumberFormat="1" applyFont="1" applyFill="1" applyBorder="1" applyAlignment="1">
      <alignment horizontal="center" vertical="top" wrapText="1"/>
    </xf>
    <xf numFmtId="0" fontId="2" fillId="4" borderId="1" xfId="0" applyFont="1" applyFill="1" applyBorder="1" applyAlignment="1">
      <alignment horizontal="center" vertical="top" wrapText="1"/>
    </xf>
    <xf numFmtId="4" fontId="2" fillId="4" borderId="1" xfId="0" applyNumberFormat="1" applyFont="1" applyFill="1" applyBorder="1" applyAlignment="1">
      <alignment horizontal="right" vertical="top" wrapText="1"/>
    </xf>
    <xf numFmtId="4" fontId="2" fillId="4" borderId="1" xfId="0" applyNumberFormat="1" applyFont="1" applyFill="1" applyBorder="1" applyAlignment="1">
      <alignment horizontal="center" vertical="top" wrapText="1"/>
    </xf>
    <xf numFmtId="4" fontId="2" fillId="4" borderId="3" xfId="0" applyNumberFormat="1" applyFont="1" applyFill="1" applyBorder="1" applyAlignment="1">
      <alignment horizontal="center" vertical="top" wrapText="1"/>
    </xf>
    <xf numFmtId="49" fontId="5" fillId="4" borderId="1" xfId="0" applyNumberFormat="1"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15" xfId="0" applyFont="1" applyFill="1" applyBorder="1" applyAlignment="1">
      <alignment horizontal="left" vertical="top" wrapText="1"/>
    </xf>
    <xf numFmtId="4" fontId="2" fillId="4" borderId="1" xfId="0" applyNumberFormat="1" applyFont="1" applyFill="1" applyBorder="1" applyAlignment="1">
      <alignment horizontal="center" vertical="center" wrapText="1"/>
    </xf>
    <xf numFmtId="4" fontId="59" fillId="4" borderId="1" xfId="0" applyNumberFormat="1" applyFont="1" applyFill="1" applyBorder="1" applyAlignment="1">
      <alignment horizontal="center" vertical="center" wrapText="1"/>
    </xf>
    <xf numFmtId="0" fontId="24" fillId="0" borderId="13" xfId="0" applyFont="1" applyFill="1" applyBorder="1" applyAlignment="1">
      <alignment horizontal="left" vertical="top"/>
    </xf>
    <xf numFmtId="0" fontId="24" fillId="0" borderId="7" xfId="0" applyFont="1" applyFill="1" applyBorder="1" applyAlignment="1">
      <alignment horizontal="left" vertical="top"/>
    </xf>
    <xf numFmtId="0" fontId="24" fillId="0" borderId="0" xfId="0" applyFont="1" applyFill="1" applyBorder="1" applyAlignment="1">
      <alignment horizontal="left" vertical="top"/>
    </xf>
    <xf numFmtId="0" fontId="24" fillId="0" borderId="10" xfId="0" applyFont="1" applyFill="1" applyBorder="1" applyAlignment="1">
      <alignment horizontal="left" vertical="top"/>
    </xf>
    <xf numFmtId="0" fontId="24" fillId="4" borderId="9" xfId="0" applyFont="1" applyFill="1" applyBorder="1" applyAlignment="1">
      <alignment vertical="top" wrapText="1"/>
    </xf>
    <xf numFmtId="0" fontId="24" fillId="4" borderId="14" xfId="0" applyFont="1" applyFill="1" applyBorder="1" applyAlignment="1">
      <alignment vertical="top" wrapText="1"/>
    </xf>
    <xf numFmtId="0" fontId="24" fillId="4" borderId="2" xfId="0" applyFont="1" applyFill="1" applyBorder="1" applyAlignment="1">
      <alignment vertical="top" wrapText="1"/>
    </xf>
    <xf numFmtId="49" fontId="66" fillId="0" borderId="0" xfId="0" applyNumberFormat="1" applyFont="1" applyFill="1" applyAlignment="1" applyProtection="1">
      <alignment horizontal="center" vertical="top" wrapText="1"/>
    </xf>
    <xf numFmtId="49" fontId="65" fillId="0" borderId="1" xfId="0" applyNumberFormat="1" applyFont="1" applyFill="1" applyBorder="1" applyAlignment="1" applyProtection="1">
      <alignment horizontal="center" vertical="top" wrapText="1"/>
    </xf>
    <xf numFmtId="0" fontId="65" fillId="0" borderId="1" xfId="0" applyFont="1" applyFill="1" applyBorder="1" applyAlignment="1" applyProtection="1">
      <alignment horizontal="center" vertical="top" wrapText="1"/>
    </xf>
    <xf numFmtId="173" fontId="65" fillId="0" borderId="1" xfId="0" applyNumberFormat="1" applyFont="1" applyFill="1" applyBorder="1" applyAlignment="1" applyProtection="1">
      <alignment horizontal="center" vertical="top" wrapText="1"/>
    </xf>
    <xf numFmtId="173" fontId="77" fillId="0" borderId="9" xfId="0" applyNumberFormat="1" applyFont="1" applyFill="1" applyBorder="1" applyAlignment="1" applyProtection="1">
      <alignment horizontal="center" vertical="top" wrapText="1"/>
    </xf>
    <xf numFmtId="173" fontId="65" fillId="0" borderId="23" xfId="0" applyNumberFormat="1" applyFont="1" applyFill="1" applyBorder="1" applyAlignment="1" applyProtection="1">
      <alignment horizontal="center" vertical="top" wrapText="1"/>
    </xf>
    <xf numFmtId="173" fontId="65" fillId="0" borderId="16" xfId="0" applyNumberFormat="1" applyFont="1" applyFill="1" applyBorder="1" applyAlignment="1" applyProtection="1">
      <alignment horizontal="center" vertical="top" wrapText="1"/>
    </xf>
    <xf numFmtId="173" fontId="65" fillId="0" borderId="17" xfId="0" applyNumberFormat="1" applyFont="1" applyFill="1" applyBorder="1" applyAlignment="1" applyProtection="1">
      <alignment horizontal="center" vertical="top" wrapText="1"/>
    </xf>
    <xf numFmtId="173" fontId="65" fillId="0" borderId="24" xfId="0" applyNumberFormat="1" applyFont="1" applyFill="1" applyBorder="1" applyAlignment="1" applyProtection="1">
      <alignment horizontal="center" vertical="center" wrapText="1"/>
    </xf>
    <xf numFmtId="173" fontId="65" fillId="0" borderId="25" xfId="0" applyNumberFormat="1" applyFont="1" applyFill="1" applyBorder="1" applyAlignment="1" applyProtection="1">
      <alignment horizontal="center" vertical="center" wrapText="1"/>
    </xf>
    <xf numFmtId="173" fontId="65" fillId="0" borderId="2" xfId="0" applyNumberFormat="1" applyFont="1" applyFill="1" applyBorder="1" applyAlignment="1" applyProtection="1">
      <alignment horizontal="center" vertical="top" wrapText="1"/>
    </xf>
    <xf numFmtId="173" fontId="65" fillId="0" borderId="19" xfId="0" applyNumberFormat="1" applyFont="1" applyFill="1" applyBorder="1" applyAlignment="1" applyProtection="1">
      <alignment horizontal="center" vertical="top" wrapText="1"/>
    </xf>
    <xf numFmtId="173" fontId="65" fillId="0" borderId="24" xfId="3" applyNumberFormat="1" applyFont="1" applyFill="1" applyBorder="1" applyAlignment="1" applyProtection="1">
      <alignment horizontal="center" vertical="center" wrapText="1"/>
    </xf>
    <xf numFmtId="173" fontId="65" fillId="0" borderId="25" xfId="3" applyNumberFormat="1" applyFont="1" applyFill="1" applyBorder="1" applyAlignment="1" applyProtection="1">
      <alignment horizontal="center" vertical="center" wrapText="1"/>
    </xf>
    <xf numFmtId="173" fontId="65" fillId="0" borderId="2" xfId="3" applyNumberFormat="1" applyFont="1" applyFill="1" applyBorder="1" applyAlignment="1" applyProtection="1">
      <alignment horizontal="center" vertical="center" wrapText="1"/>
    </xf>
    <xf numFmtId="173" fontId="65" fillId="0" borderId="1" xfId="3" applyNumberFormat="1" applyFont="1" applyFill="1" applyBorder="1" applyAlignment="1" applyProtection="1">
      <alignment horizontal="center" vertical="center" wrapText="1"/>
    </xf>
    <xf numFmtId="173" fontId="65" fillId="0" borderId="18" xfId="3" applyNumberFormat="1" applyFont="1" applyFill="1" applyBorder="1" applyAlignment="1" applyProtection="1">
      <alignment horizontal="center" vertical="center" wrapText="1"/>
    </xf>
    <xf numFmtId="0" fontId="80" fillId="4" borderId="0" xfId="0" applyFont="1" applyFill="1" applyBorder="1" applyAlignment="1" applyProtection="1">
      <alignment horizontal="left" vertical="center" wrapText="1"/>
    </xf>
    <xf numFmtId="0" fontId="68" fillId="0" borderId="27" xfId="0" applyFont="1" applyFill="1" applyBorder="1" applyAlignment="1" applyProtection="1">
      <alignment horizontal="justify" vertical="center"/>
    </xf>
    <xf numFmtId="0" fontId="68" fillId="0" borderId="0" xfId="0" applyFont="1" applyFill="1" applyAlignment="1" applyProtection="1">
      <alignment horizontal="justify" vertical="center"/>
    </xf>
    <xf numFmtId="0" fontId="69" fillId="0" borderId="27" xfId="0" applyFont="1" applyBorder="1" applyAlignment="1" applyProtection="1">
      <alignment horizontal="justify" vertical="top"/>
    </xf>
    <xf numFmtId="0" fontId="69" fillId="0" borderId="0" xfId="0" applyFont="1" applyAlignment="1" applyProtection="1">
      <alignment horizontal="justify" vertical="top"/>
    </xf>
    <xf numFmtId="0" fontId="69" fillId="0" borderId="27" xfId="0" applyFont="1" applyFill="1" applyBorder="1" applyAlignment="1" applyProtection="1">
      <alignment horizontal="justify" vertical="top" wrapText="1"/>
    </xf>
    <xf numFmtId="0" fontId="69" fillId="0" borderId="0" xfId="0" applyFont="1" applyFill="1" applyAlignment="1" applyProtection="1">
      <alignment horizontal="justify" vertical="top" wrapText="1"/>
    </xf>
    <xf numFmtId="0" fontId="69" fillId="0" borderId="27" xfId="0" applyFont="1" applyBorder="1" applyAlignment="1" applyProtection="1">
      <alignment horizontal="justify" vertical="top" wrapText="1"/>
    </xf>
    <xf numFmtId="0" fontId="69" fillId="0" borderId="0" xfId="0" applyFont="1" applyAlignment="1" applyProtection="1">
      <alignment horizontal="justify" vertical="top" wrapText="1"/>
    </xf>
    <xf numFmtId="49" fontId="66" fillId="4" borderId="1" xfId="0" applyNumberFormat="1" applyFont="1" applyFill="1" applyBorder="1" applyAlignment="1" applyProtection="1">
      <alignment horizontal="left" vertical="top" wrapText="1"/>
    </xf>
    <xf numFmtId="49" fontId="66" fillId="4" borderId="9" xfId="0" applyNumberFormat="1" applyFont="1" applyFill="1" applyBorder="1" applyAlignment="1" applyProtection="1">
      <alignment horizontal="left" vertical="top" wrapText="1"/>
    </xf>
    <xf numFmtId="0" fontId="65" fillId="4" borderId="9" xfId="0" applyFont="1" applyFill="1" applyBorder="1" applyAlignment="1" applyProtection="1">
      <alignment horizontal="center" vertical="center" wrapText="1"/>
    </xf>
    <xf numFmtId="0" fontId="65" fillId="4" borderId="14" xfId="0" applyFont="1" applyFill="1" applyBorder="1" applyAlignment="1" applyProtection="1">
      <alignment horizontal="center" vertical="center" wrapText="1"/>
    </xf>
    <xf numFmtId="0" fontId="65" fillId="4" borderId="2" xfId="0" applyFont="1" applyFill="1" applyBorder="1" applyAlignment="1" applyProtection="1">
      <alignment horizontal="center" vertical="center" wrapText="1"/>
    </xf>
    <xf numFmtId="173" fontId="65" fillId="4" borderId="9" xfId="0" applyNumberFormat="1" applyFont="1" applyFill="1" applyBorder="1" applyAlignment="1" applyProtection="1">
      <alignment horizontal="center" vertical="center" wrapText="1"/>
    </xf>
    <xf numFmtId="173" fontId="65" fillId="4" borderId="14" xfId="0" applyNumberFormat="1" applyFont="1" applyFill="1" applyBorder="1" applyAlignment="1" applyProtection="1">
      <alignment horizontal="center" vertical="center" wrapText="1"/>
    </xf>
    <xf numFmtId="173" fontId="65" fillId="4" borderId="2" xfId="0" applyNumberFormat="1" applyFont="1" applyFill="1" applyBorder="1" applyAlignment="1" applyProtection="1">
      <alignment horizontal="center" vertical="center" wrapText="1"/>
    </xf>
  </cellXfs>
  <cellStyles count="5">
    <cellStyle name="S11" xfId="4"/>
    <cellStyle name="Нейтральный" xfId="1" builtinId="28"/>
    <cellStyle name="Обычный" xfId="0" builtinId="0"/>
    <cellStyle name="Процентный" xfId="2" builtinId="5"/>
    <cellStyle name="Финансовый" xfId="3"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T13"/>
  <sheetViews>
    <sheetView view="pageBreakPreview" zoomScale="85" zoomScaleNormal="100" zoomScaleSheetLayoutView="85" workbookViewId="0">
      <selection sqref="A1:S1"/>
    </sheetView>
  </sheetViews>
  <sheetFormatPr defaultRowHeight="21"/>
  <cols>
    <col min="1" max="1" width="9.140625" style="80"/>
    <col min="2" max="16384" width="9.140625" style="81"/>
  </cols>
  <sheetData>
    <row r="1" spans="1:20" s="73" customFormat="1" ht="26.25">
      <c r="A1" s="981" t="s">
        <v>237</v>
      </c>
      <c r="B1" s="981"/>
      <c r="C1" s="981"/>
      <c r="D1" s="981"/>
      <c r="E1" s="981"/>
      <c r="F1" s="981"/>
      <c r="G1" s="981"/>
      <c r="H1" s="981"/>
      <c r="I1" s="981"/>
      <c r="J1" s="981"/>
      <c r="K1" s="981"/>
      <c r="L1" s="981"/>
      <c r="M1" s="981"/>
      <c r="N1" s="981"/>
      <c r="O1" s="981"/>
      <c r="P1" s="981"/>
      <c r="Q1" s="981"/>
      <c r="R1" s="981"/>
      <c r="S1" s="981"/>
      <c r="T1" s="72"/>
    </row>
    <row r="2" spans="1:20" s="77" customFormat="1" ht="45" customHeight="1">
      <c r="A2" s="74"/>
      <c r="B2" s="75"/>
      <c r="C2" s="76"/>
      <c r="D2" s="76"/>
      <c r="E2" s="76"/>
      <c r="F2" s="76"/>
      <c r="G2" s="76"/>
      <c r="H2" s="76"/>
      <c r="I2" s="76"/>
      <c r="J2" s="76"/>
      <c r="K2" s="76"/>
      <c r="L2" s="76"/>
      <c r="M2" s="76"/>
      <c r="N2" s="76"/>
      <c r="O2" s="76"/>
      <c r="P2" s="76"/>
      <c r="Q2" s="76"/>
      <c r="R2" s="76"/>
      <c r="S2" s="76" t="s">
        <v>16</v>
      </c>
      <c r="T2" s="76"/>
    </row>
    <row r="3" spans="1:20" s="73" customFormat="1" ht="26.25">
      <c r="A3" s="71" t="s">
        <v>17</v>
      </c>
      <c r="B3" s="982" t="s">
        <v>18</v>
      </c>
      <c r="C3" s="982"/>
      <c r="D3" s="982"/>
      <c r="E3" s="982"/>
      <c r="F3" s="982"/>
      <c r="G3" s="982"/>
      <c r="H3" s="982"/>
      <c r="I3" s="982"/>
      <c r="J3" s="982"/>
      <c r="K3" s="982"/>
      <c r="L3" s="982"/>
      <c r="M3" s="982"/>
      <c r="N3" s="982"/>
      <c r="O3" s="982"/>
      <c r="P3" s="982"/>
      <c r="Q3" s="982"/>
      <c r="R3" s="982"/>
      <c r="S3" s="982"/>
      <c r="T3" s="982"/>
    </row>
    <row r="4" spans="1:20" s="77" customFormat="1" ht="20.25">
      <c r="A4" s="74"/>
      <c r="B4" s="75" t="s">
        <v>19</v>
      </c>
      <c r="C4" s="76"/>
      <c r="D4" s="76"/>
      <c r="E4" s="76"/>
      <c r="F4" s="76"/>
      <c r="G4" s="76"/>
      <c r="H4" s="76"/>
      <c r="I4" s="76"/>
      <c r="J4" s="76"/>
      <c r="K4" s="76"/>
      <c r="L4" s="76"/>
      <c r="M4" s="76"/>
      <c r="N4" s="76"/>
      <c r="O4" s="76"/>
      <c r="P4" s="76"/>
      <c r="Q4" s="76"/>
      <c r="R4" s="76"/>
      <c r="S4" s="76"/>
      <c r="T4" s="76"/>
    </row>
    <row r="5" spans="1:20" s="77" customFormat="1" ht="65.25" customHeight="1">
      <c r="A5" s="74"/>
      <c r="B5" s="75"/>
      <c r="C5" s="76"/>
      <c r="D5" s="76"/>
      <c r="E5" s="76"/>
      <c r="F5" s="76"/>
      <c r="G5" s="76"/>
      <c r="H5" s="76"/>
      <c r="I5" s="76"/>
      <c r="J5" s="76"/>
      <c r="K5" s="76"/>
      <c r="L5" s="76"/>
      <c r="M5" s="76"/>
      <c r="N5" s="76"/>
      <c r="O5" s="76"/>
      <c r="P5" s="76"/>
      <c r="Q5" s="76"/>
      <c r="R5" s="76"/>
      <c r="S5" s="76"/>
      <c r="T5" s="76"/>
    </row>
    <row r="6" spans="1:20" s="73" customFormat="1" ht="26.25">
      <c r="A6" s="71" t="s">
        <v>184</v>
      </c>
      <c r="B6" s="78" t="s">
        <v>20</v>
      </c>
      <c r="C6" s="72"/>
      <c r="D6" s="72"/>
      <c r="E6" s="72"/>
      <c r="F6" s="72"/>
      <c r="G6" s="72"/>
      <c r="H6" s="72"/>
      <c r="I6" s="72"/>
      <c r="J6" s="72"/>
      <c r="K6" s="72"/>
      <c r="L6" s="72"/>
      <c r="M6" s="72"/>
      <c r="N6" s="72"/>
      <c r="O6" s="72"/>
      <c r="P6" s="72"/>
      <c r="Q6" s="72"/>
      <c r="R6" s="79"/>
      <c r="S6" s="79"/>
      <c r="T6" s="79"/>
    </row>
    <row r="7" spans="1:20" s="77" customFormat="1" ht="20.25">
      <c r="A7" s="74"/>
      <c r="B7" s="75" t="s">
        <v>21</v>
      </c>
      <c r="C7" s="76"/>
      <c r="D7" s="76"/>
      <c r="E7" s="76"/>
      <c r="F7" s="76"/>
      <c r="G7" s="76"/>
      <c r="H7" s="76"/>
      <c r="I7" s="76"/>
      <c r="J7" s="76"/>
      <c r="K7" s="76"/>
      <c r="L7" s="76"/>
      <c r="M7" s="76"/>
      <c r="N7" s="76"/>
      <c r="O7" s="76"/>
      <c r="P7" s="76"/>
      <c r="Q7" s="76"/>
      <c r="R7" s="76"/>
      <c r="S7" s="76"/>
      <c r="T7" s="76"/>
    </row>
    <row r="8" spans="1:20" s="77" customFormat="1" ht="58.5" customHeight="1">
      <c r="A8" s="74"/>
      <c r="B8" s="75"/>
      <c r="C8" s="76"/>
      <c r="D8" s="76"/>
      <c r="E8" s="76"/>
      <c r="F8" s="76"/>
      <c r="G8" s="76"/>
      <c r="H8" s="76"/>
      <c r="I8" s="76"/>
      <c r="J8" s="76"/>
      <c r="K8" s="76"/>
      <c r="L8" s="76"/>
      <c r="M8" s="76"/>
      <c r="N8" s="76"/>
      <c r="O8" s="76"/>
      <c r="P8" s="76"/>
      <c r="Q8" s="76"/>
      <c r="R8" s="76"/>
      <c r="S8" s="76"/>
      <c r="T8" s="76"/>
    </row>
    <row r="9" spans="1:20" s="73" customFormat="1" ht="55.5" customHeight="1">
      <c r="A9" s="71" t="s">
        <v>185</v>
      </c>
      <c r="B9" s="982" t="s">
        <v>25</v>
      </c>
      <c r="C9" s="982"/>
      <c r="D9" s="982"/>
      <c r="E9" s="982"/>
      <c r="F9" s="982"/>
      <c r="G9" s="982"/>
      <c r="H9" s="982"/>
      <c r="I9" s="982"/>
      <c r="J9" s="982"/>
      <c r="K9" s="982"/>
      <c r="L9" s="982"/>
      <c r="M9" s="982"/>
      <c r="N9" s="982"/>
      <c r="O9" s="982"/>
      <c r="P9" s="982"/>
      <c r="Q9" s="982"/>
      <c r="R9" s="982"/>
      <c r="S9" s="982"/>
      <c r="T9" s="982"/>
    </row>
    <row r="10" spans="1:20" s="77" customFormat="1" ht="20.25">
      <c r="A10" s="74"/>
      <c r="B10" s="75" t="s">
        <v>22</v>
      </c>
      <c r="C10" s="76"/>
      <c r="D10" s="76"/>
      <c r="E10" s="76"/>
      <c r="F10" s="76"/>
      <c r="G10" s="76"/>
      <c r="H10" s="76"/>
      <c r="I10" s="76"/>
      <c r="J10" s="76"/>
      <c r="K10" s="76"/>
      <c r="L10" s="76"/>
      <c r="M10" s="76"/>
      <c r="N10" s="76"/>
      <c r="O10" s="76"/>
      <c r="P10" s="76"/>
      <c r="Q10" s="76"/>
      <c r="R10" s="76"/>
      <c r="S10" s="76"/>
      <c r="T10" s="76"/>
    </row>
    <row r="11" spans="1:20" s="77" customFormat="1" ht="20.25">
      <c r="A11" s="74"/>
      <c r="B11" s="75"/>
      <c r="C11" s="76"/>
      <c r="D11" s="76"/>
      <c r="E11" s="76"/>
      <c r="F11" s="76"/>
      <c r="G11" s="76"/>
      <c r="H11" s="76"/>
      <c r="I11" s="76"/>
      <c r="J11" s="76"/>
      <c r="K11" s="76"/>
      <c r="L11" s="76"/>
      <c r="M11" s="76"/>
      <c r="N11" s="76"/>
      <c r="O11" s="76"/>
      <c r="P11" s="76"/>
      <c r="Q11" s="76"/>
      <c r="R11" s="76"/>
      <c r="S11" s="76"/>
      <c r="T11" s="76"/>
    </row>
    <row r="13" spans="1:20" s="73" customFormat="1" ht="26.25">
      <c r="A13" s="71" t="s">
        <v>23</v>
      </c>
      <c r="B13" s="982" t="s">
        <v>24</v>
      </c>
      <c r="C13" s="982"/>
      <c r="D13" s="982"/>
      <c r="E13" s="982"/>
      <c r="F13" s="982"/>
      <c r="G13" s="982"/>
      <c r="H13" s="982"/>
      <c r="I13" s="982"/>
      <c r="J13" s="982"/>
      <c r="K13" s="982"/>
      <c r="L13" s="982"/>
      <c r="M13" s="982"/>
      <c r="N13" s="982"/>
      <c r="O13" s="982"/>
      <c r="P13" s="982"/>
      <c r="Q13" s="982"/>
      <c r="R13" s="982"/>
      <c r="S13" s="982"/>
      <c r="T13" s="982"/>
    </row>
  </sheetData>
  <mergeCells count="4">
    <mergeCell ref="A1:S1"/>
    <mergeCell ref="B3:T3"/>
    <mergeCell ref="B9:T9"/>
    <mergeCell ref="B13:T13"/>
  </mergeCells>
  <phoneticPr fontId="1" type="noConversion"/>
  <printOptions horizontalCentered="1"/>
  <pageMargins left="0.78740157480314965" right="0.78740157480314965" top="0.98425196850393704" bottom="0.98425196850393704" header="0.51181102362204722" footer="0.51181102362204722"/>
  <pageSetup paperSize="9" scale="64" orientation="landscape" r:id="rId1"/>
  <headerFooter alignWithMargins="0"/>
</worksheet>
</file>

<file path=xl/worksheets/sheet10.xml><?xml version="1.0" encoding="utf-8"?>
<worksheet xmlns="http://schemas.openxmlformats.org/spreadsheetml/2006/main" xmlns:r="http://schemas.openxmlformats.org/officeDocument/2006/relationships">
  <dimension ref="A1:K31"/>
  <sheetViews>
    <sheetView workbookViewId="0">
      <selection activeCell="E26" sqref="E26"/>
    </sheetView>
  </sheetViews>
  <sheetFormatPr defaultRowHeight="15"/>
  <cols>
    <col min="2" max="9" width="20.42578125" customWidth="1"/>
    <col min="10" max="10" width="12.140625" customWidth="1"/>
  </cols>
  <sheetData>
    <row r="1" spans="1:11" s="298" customFormat="1" ht="15.75" customHeight="1">
      <c r="A1" s="991"/>
      <c r="B1" s="989" t="s">
        <v>45</v>
      </c>
      <c r="C1" s="989"/>
      <c r="D1" s="989"/>
      <c r="E1" s="989"/>
      <c r="F1" s="989" t="s">
        <v>40</v>
      </c>
      <c r="G1" s="989"/>
      <c r="H1" s="989"/>
      <c r="I1" s="989"/>
    </row>
    <row r="2" spans="1:11" s="299" customFormat="1" ht="15.75">
      <c r="A2" s="991"/>
      <c r="B2" s="989" t="s">
        <v>41</v>
      </c>
      <c r="C2" s="989" t="s">
        <v>42</v>
      </c>
      <c r="D2" s="989"/>
      <c r="E2" s="989"/>
      <c r="F2" s="994" t="s">
        <v>41</v>
      </c>
      <c r="G2" s="989" t="s">
        <v>42</v>
      </c>
      <c r="H2" s="989"/>
      <c r="I2" s="989"/>
    </row>
    <row r="3" spans="1:11" s="277" customFormat="1" ht="31.5">
      <c r="A3" s="991"/>
      <c r="B3" s="989"/>
      <c r="C3" s="284" t="s">
        <v>44</v>
      </c>
      <c r="D3" s="284" t="s">
        <v>43</v>
      </c>
      <c r="E3" s="284" t="s">
        <v>27</v>
      </c>
      <c r="F3" s="994"/>
      <c r="G3" s="284" t="s">
        <v>44</v>
      </c>
      <c r="H3" s="284" t="s">
        <v>43</v>
      </c>
      <c r="I3" s="284" t="s">
        <v>27</v>
      </c>
    </row>
    <row r="4" spans="1:11">
      <c r="B4" t="s">
        <v>564</v>
      </c>
      <c r="G4" s="301">
        <v>52181.45</v>
      </c>
      <c r="H4" s="305">
        <v>16226773.810000001</v>
      </c>
      <c r="I4" s="301">
        <v>65533.440979999999</v>
      </c>
    </row>
    <row r="5" spans="1:11">
      <c r="B5" t="s">
        <v>565</v>
      </c>
      <c r="G5" s="301"/>
      <c r="H5" s="305"/>
      <c r="I5" s="301">
        <v>2101.2952500000001</v>
      </c>
    </row>
    <row r="6" spans="1:11">
      <c r="B6" t="s">
        <v>566</v>
      </c>
      <c r="G6" s="301">
        <v>200.95301000000001</v>
      </c>
      <c r="H6" s="305"/>
      <c r="I6" s="301">
        <v>186.94851</v>
      </c>
    </row>
    <row r="7" spans="1:11">
      <c r="B7" t="s">
        <v>34</v>
      </c>
      <c r="G7" s="301"/>
      <c r="H7" s="305"/>
      <c r="I7" s="301">
        <v>43070.418160000001</v>
      </c>
    </row>
    <row r="8" spans="1:11">
      <c r="B8" t="s">
        <v>567</v>
      </c>
      <c r="G8" s="301"/>
      <c r="H8" s="305"/>
      <c r="I8" s="301">
        <f>966.736+562+51.728</f>
        <v>1580.4639999999999</v>
      </c>
    </row>
    <row r="9" spans="1:11" ht="15.75" thickBot="1">
      <c r="B9" t="s">
        <v>568</v>
      </c>
      <c r="G9" s="301"/>
      <c r="H9" s="305"/>
      <c r="I9" s="301">
        <v>5745.9870000000001</v>
      </c>
    </row>
    <row r="10" spans="1:11" ht="15.75" thickBot="1">
      <c r="B10" s="304">
        <f>SUM(C10:E10)</f>
        <v>225844.83000000002</v>
      </c>
      <c r="C10" s="309">
        <v>73091.67</v>
      </c>
      <c r="D10" s="309">
        <v>19181.46</v>
      </c>
      <c r="E10" s="309">
        <v>133571.70000000001</v>
      </c>
      <c r="F10" s="304">
        <f>SUM(G10:I10)</f>
        <v>186827.69501</v>
      </c>
      <c r="G10" s="303">
        <f>SUM(G4:G9)</f>
        <v>52382.403009999995</v>
      </c>
      <c r="H10" s="306">
        <v>16226.7381</v>
      </c>
      <c r="I10" s="303">
        <f>SUM(I4:I9)</f>
        <v>118218.5539</v>
      </c>
      <c r="J10" s="310">
        <f>F10/B10</f>
        <v>0.82723919343205676</v>
      </c>
      <c r="K10" s="310">
        <f>H10/D10</f>
        <v>0.84595948900657203</v>
      </c>
    </row>
    <row r="11" spans="1:11">
      <c r="G11" s="301"/>
      <c r="H11" s="305"/>
      <c r="I11" s="301"/>
    </row>
    <row r="12" spans="1:11">
      <c r="G12" s="301"/>
      <c r="H12" s="305"/>
      <c r="I12" s="301"/>
    </row>
    <row r="13" spans="1:11">
      <c r="G13" s="301"/>
      <c r="H13" s="305"/>
      <c r="I13" s="301"/>
    </row>
    <row r="14" spans="1:11">
      <c r="G14" s="301"/>
      <c r="H14" s="301"/>
      <c r="I14" s="301"/>
    </row>
    <row r="15" spans="1:11">
      <c r="G15" s="301"/>
      <c r="H15" s="301"/>
      <c r="I15" s="301"/>
    </row>
    <row r="16" spans="1:11">
      <c r="B16" s="302"/>
      <c r="G16" s="301"/>
      <c r="H16" s="301"/>
      <c r="I16" s="301"/>
    </row>
    <row r="17" spans="2:9">
      <c r="B17" s="302"/>
      <c r="G17" s="301"/>
      <c r="H17" s="301"/>
      <c r="I17" s="301"/>
    </row>
    <row r="18" spans="2:9">
      <c r="B18" s="302"/>
      <c r="G18" s="301"/>
      <c r="H18" s="301"/>
      <c r="I18" s="301"/>
    </row>
    <row r="19" spans="2:9">
      <c r="B19" s="302"/>
      <c r="G19" s="300"/>
      <c r="H19" s="300"/>
      <c r="I19" s="300"/>
    </row>
    <row r="20" spans="2:9">
      <c r="B20" s="302"/>
      <c r="G20" s="300"/>
      <c r="H20" s="300"/>
      <c r="I20" s="300"/>
    </row>
    <row r="21" spans="2:9">
      <c r="B21" s="302"/>
      <c r="G21" s="300"/>
      <c r="H21" s="300"/>
      <c r="I21" s="300"/>
    </row>
    <row r="22" spans="2:9">
      <c r="C22" s="300"/>
      <c r="D22" s="300"/>
      <c r="E22" s="300"/>
    </row>
    <row r="23" spans="2:9">
      <c r="C23" s="300"/>
      <c r="D23" s="300"/>
      <c r="E23" s="300"/>
    </row>
    <row r="24" spans="2:9">
      <c r="C24" s="300"/>
      <c r="D24" s="300"/>
      <c r="E24" s="300"/>
    </row>
    <row r="25" spans="2:9">
      <c r="C25" s="300"/>
      <c r="D25" s="300"/>
      <c r="E25" s="300"/>
    </row>
    <row r="26" spans="2:9">
      <c r="C26" s="300"/>
      <c r="D26" s="300"/>
      <c r="E26" s="300"/>
    </row>
    <row r="27" spans="2:9">
      <c r="C27" s="300"/>
      <c r="D27" s="300"/>
      <c r="E27" s="300"/>
    </row>
    <row r="28" spans="2:9">
      <c r="C28" s="300"/>
      <c r="D28" s="300"/>
      <c r="E28" s="300"/>
    </row>
    <row r="29" spans="2:9">
      <c r="C29" s="300"/>
      <c r="D29" s="300"/>
      <c r="E29" s="300"/>
    </row>
    <row r="30" spans="2:9">
      <c r="C30" s="300"/>
      <c r="D30" s="300"/>
      <c r="E30" s="300"/>
    </row>
    <row r="31" spans="2:9">
      <c r="C31" s="300"/>
      <c r="D31" s="300"/>
      <c r="E31" s="300"/>
    </row>
  </sheetData>
  <mergeCells count="7">
    <mergeCell ref="A1:A3"/>
    <mergeCell ref="B1:E1"/>
    <mergeCell ref="F1:I1"/>
    <mergeCell ref="B2:B3"/>
    <mergeCell ref="C2:E2"/>
    <mergeCell ref="F2:F3"/>
    <mergeCell ref="G2:I2"/>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BQ474"/>
  <sheetViews>
    <sheetView zoomScale="80" zoomScaleNormal="80" workbookViewId="0">
      <pane ySplit="10" topLeftCell="A56" activePane="bottomLeft" state="frozen"/>
      <selection activeCell="P17" sqref="P17"/>
      <selection pane="bottomLeft" activeCell="J65" sqref="J65"/>
    </sheetView>
  </sheetViews>
  <sheetFormatPr defaultRowHeight="15.75"/>
  <cols>
    <col min="1" max="1" width="6.42578125" style="588" customWidth="1"/>
    <col min="2" max="2" width="36.7109375" style="589" customWidth="1"/>
    <col min="3" max="3" width="26.140625" style="589" customWidth="1"/>
    <col min="4" max="4" width="14" style="590" customWidth="1"/>
    <col min="5" max="5" width="14.140625" style="591" customWidth="1"/>
    <col min="6" max="6" width="13" style="591" customWidth="1"/>
    <col min="7" max="7" width="13.5703125" style="591" customWidth="1"/>
    <col min="8" max="8" width="14" style="591" customWidth="1"/>
    <col min="9" max="9" width="15.42578125" style="591" customWidth="1"/>
    <col min="10" max="10" width="13" style="591" customWidth="1"/>
    <col min="11" max="11" width="11.85546875" style="591" customWidth="1"/>
    <col min="12" max="12" width="13" style="591" customWidth="1"/>
    <col min="13" max="13" width="16.42578125" style="592" customWidth="1"/>
    <col min="14" max="14" width="14.42578125" style="592" bestFit="1" customWidth="1"/>
    <col min="15" max="69" width="9.140625" style="592"/>
    <col min="70" max="16384" width="9.140625" style="589"/>
  </cols>
  <sheetData>
    <row r="1" spans="1:69">
      <c r="J1" s="125" t="s">
        <v>614</v>
      </c>
    </row>
    <row r="2" spans="1:69">
      <c r="J2" s="125" t="s">
        <v>610</v>
      </c>
    </row>
    <row r="3" spans="1:69">
      <c r="J3" s="125" t="s">
        <v>611</v>
      </c>
    </row>
    <row r="4" spans="1:69">
      <c r="J4" s="125" t="s">
        <v>612</v>
      </c>
    </row>
    <row r="6" spans="1:69" ht="15.75" customHeight="1">
      <c r="A6" s="1073" t="s">
        <v>713</v>
      </c>
      <c r="B6" s="1073"/>
      <c r="C6" s="1073"/>
      <c r="D6" s="1073"/>
      <c r="E6" s="1073"/>
      <c r="F6" s="1073"/>
      <c r="G6" s="1073"/>
      <c r="H6" s="1073"/>
      <c r="I6" s="1073"/>
      <c r="J6" s="1073"/>
      <c r="K6" s="1073"/>
      <c r="L6" s="1073"/>
    </row>
    <row r="8" spans="1:69" s="594" customFormat="1" ht="25.5" customHeight="1">
      <c r="A8" s="1074" t="s">
        <v>26</v>
      </c>
      <c r="B8" s="1075" t="s">
        <v>37</v>
      </c>
      <c r="C8" s="1075" t="s">
        <v>38</v>
      </c>
      <c r="D8" s="1075" t="s">
        <v>39</v>
      </c>
      <c r="E8" s="1076" t="s">
        <v>45</v>
      </c>
      <c r="F8" s="1076"/>
      <c r="G8" s="1076"/>
      <c r="H8" s="1076"/>
      <c r="I8" s="1076" t="s">
        <v>40</v>
      </c>
      <c r="J8" s="1076"/>
      <c r="K8" s="1076"/>
      <c r="L8" s="1076"/>
      <c r="M8" s="593"/>
      <c r="N8" s="593"/>
      <c r="O8" s="593"/>
      <c r="P8" s="593"/>
      <c r="Q8" s="593"/>
      <c r="R8" s="593"/>
      <c r="S8" s="593"/>
      <c r="T8" s="593"/>
      <c r="U8" s="593"/>
      <c r="V8" s="593"/>
      <c r="W8" s="593"/>
      <c r="X8" s="593"/>
      <c r="Y8" s="593"/>
      <c r="Z8" s="593"/>
      <c r="AA8" s="593"/>
      <c r="AB8" s="593"/>
      <c r="AC8" s="593"/>
      <c r="AD8" s="593"/>
      <c r="AE8" s="593"/>
      <c r="AF8" s="593"/>
      <c r="AG8" s="593"/>
      <c r="AH8" s="593"/>
      <c r="AI8" s="593"/>
      <c r="AJ8" s="593"/>
      <c r="AK8" s="593"/>
      <c r="AL8" s="593"/>
      <c r="AM8" s="593"/>
      <c r="AN8" s="593"/>
      <c r="AO8" s="593"/>
      <c r="AP8" s="593"/>
      <c r="AQ8" s="593"/>
      <c r="AR8" s="593"/>
      <c r="AS8" s="593"/>
      <c r="AT8" s="593"/>
      <c r="AU8" s="593"/>
      <c r="AV8" s="593"/>
      <c r="AW8" s="593"/>
      <c r="AX8" s="593"/>
      <c r="AY8" s="593"/>
      <c r="AZ8" s="593"/>
      <c r="BA8" s="593"/>
      <c r="BB8" s="593"/>
      <c r="BC8" s="593"/>
      <c r="BD8" s="593"/>
      <c r="BE8" s="593"/>
      <c r="BF8" s="593"/>
      <c r="BG8" s="593"/>
      <c r="BH8" s="593"/>
      <c r="BI8" s="593"/>
      <c r="BJ8" s="593"/>
      <c r="BK8" s="593"/>
      <c r="BL8" s="593"/>
      <c r="BM8" s="593"/>
      <c r="BN8" s="593"/>
      <c r="BO8" s="593"/>
      <c r="BP8" s="593"/>
      <c r="BQ8" s="593"/>
    </row>
    <row r="9" spans="1:69" s="594" customFormat="1" ht="15.75" customHeight="1">
      <c r="A9" s="1074"/>
      <c r="B9" s="1075"/>
      <c r="C9" s="1075"/>
      <c r="D9" s="1075"/>
      <c r="E9" s="1077" t="s">
        <v>41</v>
      </c>
      <c r="F9" s="1077" t="s">
        <v>42</v>
      </c>
      <c r="G9" s="1077"/>
      <c r="H9" s="1077"/>
      <c r="I9" s="1077" t="s">
        <v>41</v>
      </c>
      <c r="J9" s="1077" t="s">
        <v>42</v>
      </c>
      <c r="K9" s="1077"/>
      <c r="L9" s="1078"/>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3"/>
      <c r="AY9" s="593"/>
      <c r="AZ9" s="593"/>
      <c r="BA9" s="593"/>
      <c r="BB9" s="593"/>
      <c r="BC9" s="593"/>
      <c r="BD9" s="593"/>
      <c r="BE9" s="593"/>
      <c r="BF9" s="593"/>
      <c r="BG9" s="593"/>
      <c r="BH9" s="593"/>
      <c r="BI9" s="593"/>
      <c r="BJ9" s="593"/>
      <c r="BK9" s="593"/>
      <c r="BL9" s="593"/>
      <c r="BM9" s="593"/>
      <c r="BN9" s="593"/>
      <c r="BO9" s="593"/>
      <c r="BP9" s="593"/>
      <c r="BQ9" s="593"/>
    </row>
    <row r="10" spans="1:69" s="594" customFormat="1" ht="33" customHeight="1">
      <c r="A10" s="1074"/>
      <c r="B10" s="1075"/>
      <c r="C10" s="1075"/>
      <c r="D10" s="1075"/>
      <c r="E10" s="1077"/>
      <c r="F10" s="284" t="s">
        <v>44</v>
      </c>
      <c r="G10" s="284" t="s">
        <v>43</v>
      </c>
      <c r="H10" s="284" t="s">
        <v>27</v>
      </c>
      <c r="I10" s="1077"/>
      <c r="J10" s="284" t="s">
        <v>44</v>
      </c>
      <c r="K10" s="595" t="s">
        <v>43</v>
      </c>
      <c r="L10" s="284" t="s">
        <v>27</v>
      </c>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93"/>
      <c r="AW10" s="593"/>
      <c r="AX10" s="593"/>
      <c r="AY10" s="593"/>
      <c r="AZ10" s="593"/>
      <c r="BA10" s="593"/>
      <c r="BB10" s="593"/>
      <c r="BC10" s="593"/>
      <c r="BD10" s="593"/>
      <c r="BE10" s="593"/>
      <c r="BF10" s="593"/>
      <c r="BG10" s="593"/>
      <c r="BH10" s="593"/>
      <c r="BI10" s="593"/>
      <c r="BJ10" s="593"/>
      <c r="BK10" s="593"/>
      <c r="BL10" s="593"/>
      <c r="BM10" s="593"/>
      <c r="BN10" s="593"/>
      <c r="BO10" s="593"/>
      <c r="BP10" s="593"/>
      <c r="BQ10" s="593"/>
    </row>
    <row r="11" spans="1:69" s="594" customFormat="1">
      <c r="A11" s="584" t="s">
        <v>28</v>
      </c>
      <c r="B11" s="191">
        <v>2</v>
      </c>
      <c r="C11" s="584" t="s">
        <v>103</v>
      </c>
      <c r="D11" s="191">
        <v>4</v>
      </c>
      <c r="E11" s="284" t="s">
        <v>155</v>
      </c>
      <c r="F11" s="327">
        <v>6</v>
      </c>
      <c r="G11" s="596">
        <v>7</v>
      </c>
      <c r="H11" s="327">
        <v>8</v>
      </c>
      <c r="I11" s="596">
        <v>9</v>
      </c>
      <c r="J11" s="327">
        <v>10</v>
      </c>
      <c r="K11" s="597">
        <v>11</v>
      </c>
      <c r="L11" s="327">
        <v>12</v>
      </c>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593"/>
      <c r="AL11" s="593"/>
      <c r="AM11" s="593"/>
      <c r="AN11" s="593"/>
      <c r="AO11" s="593"/>
      <c r="AP11" s="593"/>
      <c r="AQ11" s="593"/>
      <c r="AR11" s="593"/>
      <c r="AS11" s="593"/>
      <c r="AT11" s="593"/>
      <c r="AU11" s="593"/>
      <c r="AV11" s="593"/>
      <c r="AW11" s="593"/>
      <c r="AX11" s="593"/>
      <c r="AY11" s="593"/>
      <c r="AZ11" s="593"/>
      <c r="BA11" s="593"/>
      <c r="BB11" s="593"/>
      <c r="BC11" s="593"/>
      <c r="BD11" s="593"/>
      <c r="BE11" s="593"/>
      <c r="BF11" s="593"/>
      <c r="BG11" s="593"/>
      <c r="BH11" s="593"/>
      <c r="BI11" s="593"/>
      <c r="BJ11" s="593"/>
      <c r="BK11" s="593"/>
      <c r="BL11" s="593"/>
      <c r="BM11" s="593"/>
      <c r="BN11" s="593"/>
      <c r="BO11" s="593"/>
      <c r="BP11" s="593"/>
      <c r="BQ11" s="593"/>
    </row>
    <row r="12" spans="1:69" s="605" customFormat="1" ht="31.5">
      <c r="A12" s="598" t="s">
        <v>17</v>
      </c>
      <c r="B12" s="599" t="s">
        <v>48</v>
      </c>
      <c r="C12" s="600"/>
      <c r="D12" s="600"/>
      <c r="E12" s="601">
        <f>SUM(F12:H12)</f>
        <v>36348</v>
      </c>
      <c r="F12" s="602">
        <f>F13+F17+F18+F19+F20+F21+F22+F27+F31</f>
        <v>5286.74</v>
      </c>
      <c r="G12" s="602">
        <f>G13+G17+G18+G19+G20+G21+G22+G27+G31</f>
        <v>3467.48</v>
      </c>
      <c r="H12" s="602">
        <f>H13+H17+H18+H19+H20+H21+H22+H27+H31</f>
        <v>27593.780000000002</v>
      </c>
      <c r="I12" s="601">
        <f>SUM(J12:L12)</f>
        <v>18285.402829999999</v>
      </c>
      <c r="J12" s="601">
        <f>J13+J17+J18+J19+J20+J20+J21+J22+J27+J31</f>
        <v>3498.0587399999999</v>
      </c>
      <c r="K12" s="601">
        <f>K13+K17+K18+K19+K20+K20+K21+K22+K27+K31</f>
        <v>900.11669000000006</v>
      </c>
      <c r="L12" s="601">
        <f>L13+L17+L18+L19+L20+L21+L22+L27+L31</f>
        <v>13887.2274</v>
      </c>
      <c r="M12" s="603"/>
      <c r="N12" s="604"/>
      <c r="O12" s="603"/>
      <c r="P12" s="603"/>
      <c r="Q12" s="603"/>
      <c r="R12" s="603"/>
      <c r="S12" s="603"/>
      <c r="T12" s="603"/>
      <c r="U12" s="603"/>
      <c r="V12" s="603"/>
      <c r="W12" s="603"/>
      <c r="X12" s="603"/>
      <c r="Y12" s="603"/>
      <c r="Z12" s="603"/>
      <c r="AA12" s="603"/>
      <c r="AB12" s="603"/>
      <c r="AC12" s="603"/>
      <c r="AD12" s="603"/>
      <c r="AE12" s="603"/>
      <c r="AF12" s="603"/>
      <c r="AG12" s="603"/>
      <c r="AH12" s="603"/>
      <c r="AI12" s="603"/>
      <c r="AJ12" s="603"/>
      <c r="AK12" s="603"/>
      <c r="AL12" s="603"/>
      <c r="AM12" s="603"/>
      <c r="AN12" s="603"/>
      <c r="AO12" s="603"/>
      <c r="AP12" s="603"/>
      <c r="AQ12" s="603"/>
      <c r="AR12" s="603"/>
      <c r="AS12" s="603"/>
      <c r="AT12" s="603"/>
      <c r="AU12" s="603"/>
      <c r="AV12" s="603"/>
      <c r="AW12" s="603"/>
      <c r="AX12" s="603"/>
      <c r="AY12" s="603"/>
      <c r="AZ12" s="603"/>
      <c r="BA12" s="603"/>
      <c r="BB12" s="603"/>
      <c r="BC12" s="603"/>
      <c r="BD12" s="603"/>
      <c r="BE12" s="603"/>
      <c r="BF12" s="603"/>
      <c r="BG12" s="603"/>
      <c r="BH12" s="603"/>
      <c r="BI12" s="603"/>
      <c r="BJ12" s="603"/>
      <c r="BK12" s="603"/>
      <c r="BL12" s="603"/>
      <c r="BM12" s="603"/>
      <c r="BN12" s="603"/>
      <c r="BO12" s="603"/>
      <c r="BP12" s="603"/>
      <c r="BQ12" s="603"/>
    </row>
    <row r="13" spans="1:69" s="612" customFormat="1" ht="96" customHeight="1">
      <c r="A13" s="606" t="s">
        <v>46</v>
      </c>
      <c r="B13" s="607" t="s">
        <v>542</v>
      </c>
      <c r="C13" s="608"/>
      <c r="D13" s="608"/>
      <c r="E13" s="609">
        <f t="shared" ref="E13:E80" si="0">SUM(F13:H13)</f>
        <v>23007.980000000003</v>
      </c>
      <c r="F13" s="610">
        <v>0</v>
      </c>
      <c r="G13" s="610">
        <v>0</v>
      </c>
      <c r="H13" s="610">
        <f>SUM(H14:H16)</f>
        <v>23007.980000000003</v>
      </c>
      <c r="I13" s="609">
        <f t="shared" ref="I13:I21" si="1">SUM(J13:L13)</f>
        <v>11136.36238</v>
      </c>
      <c r="J13" s="609">
        <f>SUM(J14:J16)</f>
        <v>0</v>
      </c>
      <c r="K13" s="609">
        <f>SUM(K14:K16)</f>
        <v>0</v>
      </c>
      <c r="L13" s="609">
        <f>SUM(L14:L16)</f>
        <v>11136.36238</v>
      </c>
      <c r="M13" s="611"/>
      <c r="N13" s="611"/>
      <c r="O13" s="611"/>
      <c r="P13" s="611"/>
      <c r="Q13" s="611"/>
      <c r="R13" s="611"/>
      <c r="S13" s="611"/>
      <c r="T13" s="611"/>
      <c r="U13" s="611"/>
      <c r="V13" s="611"/>
      <c r="W13" s="611"/>
      <c r="X13" s="611"/>
      <c r="Y13" s="611"/>
      <c r="Z13" s="611"/>
      <c r="AA13" s="611"/>
      <c r="AB13" s="611"/>
      <c r="AC13" s="611"/>
      <c r="AD13" s="611"/>
      <c r="AE13" s="611"/>
      <c r="AF13" s="611"/>
      <c r="AG13" s="611"/>
      <c r="AH13" s="611"/>
      <c r="AI13" s="611"/>
      <c r="AJ13" s="611"/>
      <c r="AK13" s="611"/>
      <c r="AL13" s="611"/>
      <c r="AM13" s="611"/>
      <c r="AN13" s="611"/>
      <c r="AO13" s="611"/>
      <c r="AP13" s="611"/>
      <c r="AQ13" s="611"/>
      <c r="AR13" s="611"/>
      <c r="AS13" s="611"/>
      <c r="AT13" s="611"/>
      <c r="AU13" s="611"/>
      <c r="AV13" s="611"/>
      <c r="AW13" s="611"/>
      <c r="AX13" s="611"/>
      <c r="AY13" s="611"/>
      <c r="AZ13" s="611"/>
      <c r="BA13" s="611"/>
      <c r="BB13" s="611"/>
      <c r="BC13" s="611"/>
      <c r="BD13" s="611"/>
      <c r="BE13" s="611"/>
      <c r="BF13" s="611"/>
      <c r="BG13" s="611"/>
      <c r="BH13" s="611"/>
      <c r="BI13" s="611"/>
      <c r="BJ13" s="611"/>
      <c r="BK13" s="611"/>
      <c r="BL13" s="611"/>
      <c r="BM13" s="611"/>
      <c r="BN13" s="611"/>
      <c r="BO13" s="611"/>
      <c r="BP13" s="611"/>
      <c r="BQ13" s="611"/>
    </row>
    <row r="14" spans="1:69" s="621" customFormat="1" ht="25.5">
      <c r="A14" s="613"/>
      <c r="B14" s="614" t="s">
        <v>616</v>
      </c>
      <c r="C14" s="615" t="s">
        <v>34</v>
      </c>
      <c r="D14" s="616" t="s">
        <v>543</v>
      </c>
      <c r="E14" s="617">
        <f t="shared" si="0"/>
        <v>12076.45</v>
      </c>
      <c r="F14" s="618">
        <v>0</v>
      </c>
      <c r="G14" s="618">
        <v>0</v>
      </c>
      <c r="H14" s="618">
        <v>12076.45</v>
      </c>
      <c r="I14" s="617">
        <f t="shared" si="1"/>
        <v>4649.2897300000004</v>
      </c>
      <c r="J14" s="617">
        <v>0</v>
      </c>
      <c r="K14" s="619">
        <v>0</v>
      </c>
      <c r="L14" s="617">
        <v>4649.2897300000004</v>
      </c>
      <c r="M14" s="620"/>
      <c r="N14" s="620"/>
      <c r="O14" s="620"/>
      <c r="P14" s="620"/>
      <c r="Q14" s="620"/>
      <c r="R14" s="620"/>
      <c r="S14" s="620"/>
      <c r="T14" s="620"/>
      <c r="U14" s="620"/>
      <c r="V14" s="620"/>
      <c r="W14" s="620"/>
      <c r="X14" s="620"/>
      <c r="Y14" s="620"/>
      <c r="Z14" s="620"/>
      <c r="AA14" s="620"/>
      <c r="AB14" s="620"/>
      <c r="AC14" s="620"/>
      <c r="AD14" s="620"/>
      <c r="AE14" s="620"/>
      <c r="AF14" s="620"/>
      <c r="AG14" s="620"/>
      <c r="AH14" s="620"/>
      <c r="AI14" s="620"/>
      <c r="AJ14" s="620"/>
      <c r="AK14" s="620"/>
      <c r="AL14" s="620"/>
      <c r="AM14" s="620"/>
      <c r="AN14" s="620"/>
      <c r="AO14" s="620"/>
      <c r="AP14" s="620"/>
      <c r="AQ14" s="620"/>
      <c r="AR14" s="620"/>
      <c r="AS14" s="620"/>
      <c r="AT14" s="620"/>
      <c r="AU14" s="620"/>
      <c r="AV14" s="620"/>
      <c r="AW14" s="620"/>
      <c r="AX14" s="620"/>
      <c r="AY14" s="620"/>
      <c r="AZ14" s="620"/>
      <c r="BA14" s="620"/>
      <c r="BB14" s="620"/>
      <c r="BC14" s="620"/>
      <c r="BD14" s="620"/>
      <c r="BE14" s="620"/>
      <c r="BF14" s="620"/>
      <c r="BG14" s="620"/>
      <c r="BH14" s="620"/>
      <c r="BI14" s="620"/>
      <c r="BJ14" s="620"/>
      <c r="BK14" s="620"/>
      <c r="BL14" s="620"/>
      <c r="BM14" s="620"/>
      <c r="BN14" s="620"/>
      <c r="BO14" s="620"/>
      <c r="BP14" s="620"/>
      <c r="BQ14" s="620"/>
    </row>
    <row r="15" spans="1:69" s="621" customFormat="1" ht="25.5">
      <c r="A15" s="613"/>
      <c r="B15" s="614" t="s">
        <v>617</v>
      </c>
      <c r="C15" s="615" t="s">
        <v>34</v>
      </c>
      <c r="D15" s="616" t="s">
        <v>543</v>
      </c>
      <c r="E15" s="617">
        <f t="shared" si="0"/>
        <v>6662.29</v>
      </c>
      <c r="F15" s="618">
        <v>0</v>
      </c>
      <c r="G15" s="618">
        <v>0</v>
      </c>
      <c r="H15" s="618">
        <v>6662.29</v>
      </c>
      <c r="I15" s="617">
        <f t="shared" si="1"/>
        <v>5467.7753499999999</v>
      </c>
      <c r="J15" s="617">
        <v>0</v>
      </c>
      <c r="K15" s="619">
        <v>0</v>
      </c>
      <c r="L15" s="617">
        <v>5467.7753499999999</v>
      </c>
      <c r="M15" s="620"/>
      <c r="N15" s="620"/>
      <c r="O15" s="620"/>
      <c r="P15" s="620"/>
      <c r="Q15" s="620"/>
      <c r="R15" s="620"/>
      <c r="S15" s="620"/>
      <c r="T15" s="620"/>
      <c r="U15" s="620"/>
      <c r="V15" s="620"/>
      <c r="W15" s="620"/>
      <c r="X15" s="620"/>
      <c r="Y15" s="620"/>
      <c r="Z15" s="620"/>
      <c r="AA15" s="620"/>
      <c r="AB15" s="620"/>
      <c r="AC15" s="620"/>
      <c r="AD15" s="620"/>
      <c r="AE15" s="620"/>
      <c r="AF15" s="620"/>
      <c r="AG15" s="620"/>
      <c r="AH15" s="620"/>
      <c r="AI15" s="620"/>
      <c r="AJ15" s="620"/>
      <c r="AK15" s="620"/>
      <c r="AL15" s="620"/>
      <c r="AM15" s="620"/>
      <c r="AN15" s="620"/>
      <c r="AO15" s="620"/>
      <c r="AP15" s="620"/>
      <c r="AQ15" s="620"/>
      <c r="AR15" s="620"/>
      <c r="AS15" s="620"/>
      <c r="AT15" s="620"/>
      <c r="AU15" s="620"/>
      <c r="AV15" s="620"/>
      <c r="AW15" s="620"/>
      <c r="AX15" s="620"/>
      <c r="AY15" s="620"/>
      <c r="AZ15" s="620"/>
      <c r="BA15" s="620"/>
      <c r="BB15" s="620"/>
      <c r="BC15" s="620"/>
      <c r="BD15" s="620"/>
      <c r="BE15" s="620"/>
      <c r="BF15" s="620"/>
      <c r="BG15" s="620"/>
      <c r="BH15" s="620"/>
      <c r="BI15" s="620"/>
      <c r="BJ15" s="620"/>
      <c r="BK15" s="620"/>
      <c r="BL15" s="620"/>
      <c r="BM15" s="620"/>
      <c r="BN15" s="620"/>
      <c r="BO15" s="620"/>
      <c r="BP15" s="620"/>
      <c r="BQ15" s="620"/>
    </row>
    <row r="16" spans="1:69" s="621" customFormat="1" ht="25.5">
      <c r="A16" s="613"/>
      <c r="B16" s="622" t="s">
        <v>618</v>
      </c>
      <c r="C16" s="615" t="s">
        <v>34</v>
      </c>
      <c r="D16" s="616" t="s">
        <v>543</v>
      </c>
      <c r="E16" s="617">
        <f t="shared" si="0"/>
        <v>4269.24</v>
      </c>
      <c r="F16" s="618">
        <v>0</v>
      </c>
      <c r="G16" s="618">
        <v>0</v>
      </c>
      <c r="H16" s="618">
        <v>4269.24</v>
      </c>
      <c r="I16" s="617">
        <f t="shared" si="1"/>
        <v>1019.2973</v>
      </c>
      <c r="J16" s="617">
        <v>0</v>
      </c>
      <c r="K16" s="619">
        <v>0</v>
      </c>
      <c r="L16" s="617">
        <v>1019.2973</v>
      </c>
      <c r="M16" s="620"/>
      <c r="N16" s="620"/>
      <c r="O16" s="620"/>
      <c r="P16" s="620"/>
      <c r="Q16" s="620"/>
      <c r="R16" s="620"/>
      <c r="S16" s="620"/>
      <c r="T16" s="620"/>
      <c r="U16" s="620"/>
      <c r="V16" s="620"/>
      <c r="W16" s="620"/>
      <c r="X16" s="620"/>
      <c r="Y16" s="620"/>
      <c r="Z16" s="620"/>
      <c r="AA16" s="620"/>
      <c r="AB16" s="620"/>
      <c r="AC16" s="620"/>
      <c r="AD16" s="620"/>
      <c r="AE16" s="620"/>
      <c r="AF16" s="620"/>
      <c r="AG16" s="620"/>
      <c r="AH16" s="620"/>
      <c r="AI16" s="620"/>
      <c r="AJ16" s="620"/>
      <c r="AK16" s="620"/>
      <c r="AL16" s="620"/>
      <c r="AM16" s="620"/>
      <c r="AN16" s="620"/>
      <c r="AO16" s="620"/>
      <c r="AP16" s="620"/>
      <c r="AQ16" s="620"/>
      <c r="AR16" s="620"/>
      <c r="AS16" s="620"/>
      <c r="AT16" s="620"/>
      <c r="AU16" s="620"/>
      <c r="AV16" s="620"/>
      <c r="AW16" s="620"/>
      <c r="AX16" s="620"/>
      <c r="AY16" s="620"/>
      <c r="AZ16" s="620"/>
      <c r="BA16" s="620"/>
      <c r="BB16" s="620"/>
      <c r="BC16" s="620"/>
      <c r="BD16" s="620"/>
      <c r="BE16" s="620"/>
      <c r="BF16" s="620"/>
      <c r="BG16" s="620"/>
      <c r="BH16" s="620"/>
      <c r="BI16" s="620"/>
      <c r="BJ16" s="620"/>
      <c r="BK16" s="620"/>
      <c r="BL16" s="620"/>
      <c r="BM16" s="620"/>
      <c r="BN16" s="620"/>
      <c r="BO16" s="620"/>
      <c r="BP16" s="620"/>
      <c r="BQ16" s="620"/>
    </row>
    <row r="17" spans="1:69" s="605" customFormat="1" ht="82.5" customHeight="1">
      <c r="A17" s="606" t="s">
        <v>247</v>
      </c>
      <c r="B17" s="623" t="s">
        <v>248</v>
      </c>
      <c r="C17" s="608" t="s">
        <v>51</v>
      </c>
      <c r="D17" s="624" t="s">
        <v>543</v>
      </c>
      <c r="E17" s="609">
        <f t="shared" si="0"/>
        <v>550</v>
      </c>
      <c r="F17" s="610">
        <v>0</v>
      </c>
      <c r="G17" s="610">
        <v>0</v>
      </c>
      <c r="H17" s="625">
        <v>550</v>
      </c>
      <c r="I17" s="609">
        <f t="shared" si="1"/>
        <v>704.00199999999995</v>
      </c>
      <c r="J17" s="609">
        <v>0</v>
      </c>
      <c r="K17" s="626">
        <v>0</v>
      </c>
      <c r="L17" s="609">
        <v>704.00199999999995</v>
      </c>
      <c r="M17" s="603"/>
      <c r="N17" s="603"/>
      <c r="O17" s="603"/>
      <c r="P17" s="603"/>
      <c r="Q17" s="603"/>
      <c r="R17" s="603"/>
      <c r="S17" s="603"/>
      <c r="T17" s="603"/>
      <c r="U17" s="603"/>
      <c r="V17" s="603"/>
      <c r="W17" s="603"/>
      <c r="X17" s="603"/>
      <c r="Y17" s="603"/>
      <c r="Z17" s="603"/>
      <c r="AA17" s="603"/>
      <c r="AB17" s="603"/>
      <c r="AC17" s="603"/>
      <c r="AD17" s="603"/>
      <c r="AE17" s="603"/>
      <c r="AF17" s="603"/>
      <c r="AG17" s="603"/>
      <c r="AH17" s="603"/>
      <c r="AI17" s="603"/>
      <c r="AJ17" s="603"/>
      <c r="AK17" s="603"/>
      <c r="AL17" s="603"/>
      <c r="AM17" s="603"/>
      <c r="AN17" s="603"/>
      <c r="AO17" s="603"/>
      <c r="AP17" s="603"/>
      <c r="AQ17" s="603"/>
      <c r="AR17" s="603"/>
      <c r="AS17" s="603"/>
      <c r="AT17" s="603"/>
      <c r="AU17" s="603"/>
      <c r="AV17" s="603"/>
      <c r="AW17" s="603"/>
      <c r="AX17" s="603"/>
      <c r="AY17" s="603"/>
      <c r="AZ17" s="603"/>
      <c r="BA17" s="603"/>
      <c r="BB17" s="603"/>
      <c r="BC17" s="603"/>
      <c r="BD17" s="603"/>
      <c r="BE17" s="603"/>
      <c r="BF17" s="603"/>
      <c r="BG17" s="603"/>
      <c r="BH17" s="603"/>
      <c r="BI17" s="603"/>
      <c r="BJ17" s="603"/>
      <c r="BK17" s="603"/>
      <c r="BL17" s="603"/>
      <c r="BM17" s="603"/>
      <c r="BN17" s="603"/>
      <c r="BO17" s="603"/>
      <c r="BP17" s="603"/>
      <c r="BQ17" s="603"/>
    </row>
    <row r="18" spans="1:69" s="612" customFormat="1" ht="63">
      <c r="A18" s="606" t="s">
        <v>253</v>
      </c>
      <c r="B18" s="623" t="s">
        <v>547</v>
      </c>
      <c r="C18" s="608" t="s">
        <v>34</v>
      </c>
      <c r="D18" s="624" t="s">
        <v>544</v>
      </c>
      <c r="E18" s="609">
        <f t="shared" si="0"/>
        <v>0</v>
      </c>
      <c r="F18" s="610">
        <v>0</v>
      </c>
      <c r="G18" s="610">
        <v>0</v>
      </c>
      <c r="H18" s="609">
        <v>0</v>
      </c>
      <c r="I18" s="609">
        <f t="shared" si="1"/>
        <v>718.55399999999997</v>
      </c>
      <c r="J18" s="609">
        <v>0</v>
      </c>
      <c r="K18" s="626">
        <v>0</v>
      </c>
      <c r="L18" s="609">
        <v>718.55399999999997</v>
      </c>
      <c r="M18" s="611"/>
      <c r="N18" s="611"/>
      <c r="O18" s="611"/>
      <c r="P18" s="611"/>
      <c r="Q18" s="611"/>
      <c r="R18" s="611"/>
      <c r="S18" s="611"/>
      <c r="T18" s="611"/>
      <c r="U18" s="611"/>
      <c r="V18" s="611"/>
      <c r="W18" s="611"/>
      <c r="X18" s="611"/>
      <c r="Y18" s="611"/>
      <c r="Z18" s="611"/>
      <c r="AA18" s="611"/>
      <c r="AB18" s="611"/>
      <c r="AC18" s="611"/>
      <c r="AD18" s="611"/>
      <c r="AE18" s="611"/>
      <c r="AF18" s="611"/>
      <c r="AG18" s="611"/>
      <c r="AH18" s="611"/>
      <c r="AI18" s="611"/>
      <c r="AJ18" s="611"/>
      <c r="AK18" s="611"/>
      <c r="AL18" s="611"/>
      <c r="AM18" s="611"/>
      <c r="AN18" s="611"/>
      <c r="AO18" s="611"/>
      <c r="AP18" s="611"/>
      <c r="AQ18" s="611"/>
      <c r="AR18" s="611"/>
      <c r="AS18" s="611"/>
      <c r="AT18" s="611"/>
      <c r="AU18" s="611"/>
      <c r="AV18" s="611"/>
      <c r="AW18" s="611"/>
      <c r="AX18" s="611"/>
      <c r="AY18" s="611"/>
      <c r="AZ18" s="611"/>
      <c r="BA18" s="611"/>
      <c r="BB18" s="611"/>
      <c r="BC18" s="611"/>
      <c r="BD18" s="611"/>
      <c r="BE18" s="611"/>
      <c r="BF18" s="611"/>
      <c r="BG18" s="611"/>
      <c r="BH18" s="611"/>
      <c r="BI18" s="611"/>
      <c r="BJ18" s="611"/>
      <c r="BK18" s="611"/>
      <c r="BL18" s="611"/>
      <c r="BM18" s="611"/>
      <c r="BN18" s="611"/>
      <c r="BO18" s="611"/>
      <c r="BP18" s="611"/>
      <c r="BQ18" s="611"/>
    </row>
    <row r="19" spans="1:69" s="612" customFormat="1" ht="78.75">
      <c r="A19" s="606" t="s">
        <v>546</v>
      </c>
      <c r="B19" s="623" t="s">
        <v>55</v>
      </c>
      <c r="C19" s="608" t="s">
        <v>51</v>
      </c>
      <c r="D19" s="608" t="s">
        <v>543</v>
      </c>
      <c r="E19" s="609">
        <f t="shared" si="0"/>
        <v>1150</v>
      </c>
      <c r="F19" s="610">
        <v>0</v>
      </c>
      <c r="G19" s="610">
        <v>0</v>
      </c>
      <c r="H19" s="609">
        <v>1150</v>
      </c>
      <c r="I19" s="609">
        <f t="shared" si="1"/>
        <v>251.65</v>
      </c>
      <c r="J19" s="609">
        <v>0</v>
      </c>
      <c r="K19" s="626">
        <v>0</v>
      </c>
      <c r="L19" s="609">
        <v>251.65</v>
      </c>
      <c r="M19" s="611"/>
      <c r="N19" s="611"/>
      <c r="O19" s="611"/>
      <c r="P19" s="611"/>
      <c r="Q19" s="611"/>
      <c r="R19" s="611"/>
      <c r="S19" s="611"/>
      <c r="T19" s="611"/>
      <c r="U19" s="611"/>
      <c r="V19" s="611"/>
      <c r="W19" s="611"/>
      <c r="X19" s="611"/>
      <c r="Y19" s="611"/>
      <c r="Z19" s="611"/>
      <c r="AA19" s="611"/>
      <c r="AB19" s="611"/>
      <c r="AC19" s="611"/>
      <c r="AD19" s="611"/>
      <c r="AE19" s="611"/>
      <c r="AF19" s="611"/>
      <c r="AG19" s="611"/>
      <c r="AH19" s="611"/>
      <c r="AI19" s="611"/>
      <c r="AJ19" s="611"/>
      <c r="AK19" s="611"/>
      <c r="AL19" s="611"/>
      <c r="AM19" s="611"/>
      <c r="AN19" s="611"/>
      <c r="AO19" s="611"/>
      <c r="AP19" s="611"/>
      <c r="AQ19" s="611"/>
      <c r="AR19" s="611"/>
      <c r="AS19" s="611"/>
      <c r="AT19" s="611"/>
      <c r="AU19" s="611"/>
      <c r="AV19" s="611"/>
      <c r="AW19" s="611"/>
      <c r="AX19" s="611"/>
      <c r="AY19" s="611"/>
      <c r="AZ19" s="611"/>
      <c r="BA19" s="611"/>
      <c r="BB19" s="611"/>
      <c r="BC19" s="611"/>
      <c r="BD19" s="611"/>
      <c r="BE19" s="611"/>
      <c r="BF19" s="611"/>
      <c r="BG19" s="611"/>
      <c r="BH19" s="611"/>
      <c r="BI19" s="611"/>
      <c r="BJ19" s="611"/>
      <c r="BK19" s="611"/>
      <c r="BL19" s="611"/>
      <c r="BM19" s="611"/>
      <c r="BN19" s="611"/>
      <c r="BO19" s="611"/>
      <c r="BP19" s="611"/>
      <c r="BQ19" s="611"/>
    </row>
    <row r="20" spans="1:69" s="612" customFormat="1" ht="110.25">
      <c r="A20" s="606" t="s">
        <v>256</v>
      </c>
      <c r="B20" s="623" t="s">
        <v>548</v>
      </c>
      <c r="C20" s="608" t="s">
        <v>545</v>
      </c>
      <c r="D20" s="608" t="s">
        <v>543</v>
      </c>
      <c r="E20" s="610">
        <f t="shared" si="0"/>
        <v>1950.8</v>
      </c>
      <c r="F20" s="610">
        <v>0</v>
      </c>
      <c r="G20" s="610">
        <v>0</v>
      </c>
      <c r="H20" s="609">
        <v>1950.8</v>
      </c>
      <c r="I20" s="609">
        <f t="shared" si="1"/>
        <v>520.22299999999996</v>
      </c>
      <c r="J20" s="609">
        <v>0</v>
      </c>
      <c r="K20" s="626">
        <v>0</v>
      </c>
      <c r="L20" s="609">
        <v>520.22299999999996</v>
      </c>
      <c r="M20" s="611"/>
      <c r="N20" s="611"/>
      <c r="O20" s="611"/>
      <c r="P20" s="611"/>
      <c r="Q20" s="611"/>
      <c r="R20" s="611"/>
      <c r="S20" s="611"/>
      <c r="T20" s="611"/>
      <c r="U20" s="611"/>
      <c r="V20" s="611"/>
      <c r="W20" s="611"/>
      <c r="X20" s="611"/>
      <c r="Y20" s="611"/>
      <c r="Z20" s="611"/>
      <c r="AA20" s="611"/>
      <c r="AB20" s="611"/>
      <c r="AC20" s="611"/>
      <c r="AD20" s="611"/>
      <c r="AE20" s="611"/>
      <c r="AF20" s="611"/>
      <c r="AG20" s="611"/>
      <c r="AH20" s="611"/>
      <c r="AI20" s="611"/>
      <c r="AJ20" s="611"/>
      <c r="AK20" s="611"/>
      <c r="AL20" s="611"/>
      <c r="AM20" s="611"/>
      <c r="AN20" s="611"/>
      <c r="AO20" s="611"/>
      <c r="AP20" s="611"/>
      <c r="AQ20" s="611"/>
      <c r="AR20" s="611"/>
      <c r="AS20" s="611"/>
      <c r="AT20" s="611"/>
      <c r="AU20" s="611"/>
      <c r="AV20" s="611"/>
      <c r="AW20" s="611"/>
      <c r="AX20" s="611"/>
      <c r="AY20" s="611"/>
      <c r="AZ20" s="611"/>
      <c r="BA20" s="611"/>
      <c r="BB20" s="611"/>
      <c r="BC20" s="611"/>
      <c r="BD20" s="611"/>
      <c r="BE20" s="611"/>
      <c r="BF20" s="611"/>
      <c r="BG20" s="611"/>
      <c r="BH20" s="611"/>
      <c r="BI20" s="611"/>
      <c r="BJ20" s="611"/>
      <c r="BK20" s="611"/>
      <c r="BL20" s="611"/>
      <c r="BM20" s="611"/>
      <c r="BN20" s="611"/>
      <c r="BO20" s="611"/>
      <c r="BP20" s="611"/>
      <c r="BQ20" s="611"/>
    </row>
    <row r="21" spans="1:69" s="612" customFormat="1" ht="78.75">
      <c r="A21" s="606" t="s">
        <v>261</v>
      </c>
      <c r="B21" s="627" t="s">
        <v>57</v>
      </c>
      <c r="C21" s="608" t="s">
        <v>34</v>
      </c>
      <c r="D21" s="624" t="s">
        <v>543</v>
      </c>
      <c r="E21" s="609">
        <f t="shared" si="0"/>
        <v>635</v>
      </c>
      <c r="F21" s="609">
        <v>0</v>
      </c>
      <c r="G21" s="609">
        <v>0</v>
      </c>
      <c r="H21" s="609">
        <v>635</v>
      </c>
      <c r="I21" s="609">
        <f t="shared" si="1"/>
        <v>202.12226000000001</v>
      </c>
      <c r="J21" s="609">
        <v>0</v>
      </c>
      <c r="K21" s="626">
        <v>0</v>
      </c>
      <c r="L21" s="609">
        <v>202.12226000000001</v>
      </c>
      <c r="M21" s="611"/>
      <c r="N21" s="611"/>
      <c r="O21" s="611"/>
      <c r="P21" s="611"/>
      <c r="Q21" s="611"/>
      <c r="R21" s="611"/>
      <c r="S21" s="611"/>
      <c r="T21" s="611"/>
      <c r="U21" s="611"/>
      <c r="V21" s="611"/>
      <c r="W21" s="611"/>
      <c r="X21" s="611"/>
      <c r="Y21" s="611"/>
      <c r="Z21" s="611"/>
      <c r="AA21" s="611"/>
      <c r="AB21" s="611"/>
      <c r="AC21" s="611"/>
      <c r="AD21" s="611"/>
      <c r="AE21" s="611"/>
      <c r="AF21" s="611"/>
      <c r="AG21" s="611"/>
      <c r="AH21" s="611"/>
      <c r="AI21" s="611"/>
      <c r="AJ21" s="611"/>
      <c r="AK21" s="611"/>
      <c r="AL21" s="611"/>
      <c r="AM21" s="611"/>
      <c r="AN21" s="611"/>
      <c r="AO21" s="611"/>
      <c r="AP21" s="611"/>
      <c r="AQ21" s="611"/>
      <c r="AR21" s="611"/>
      <c r="AS21" s="611"/>
      <c r="AT21" s="611"/>
      <c r="AU21" s="611"/>
      <c r="AV21" s="611"/>
      <c r="AW21" s="611"/>
      <c r="AX21" s="611"/>
      <c r="AY21" s="611"/>
      <c r="AZ21" s="611"/>
      <c r="BA21" s="611"/>
      <c r="BB21" s="611"/>
      <c r="BC21" s="611"/>
      <c r="BD21" s="611"/>
      <c r="BE21" s="611"/>
      <c r="BF21" s="611"/>
      <c r="BG21" s="611"/>
      <c r="BH21" s="611"/>
      <c r="BI21" s="611"/>
      <c r="BJ21" s="611"/>
      <c r="BK21" s="611"/>
      <c r="BL21" s="611"/>
      <c r="BM21" s="611"/>
      <c r="BN21" s="611"/>
      <c r="BO21" s="611"/>
      <c r="BP21" s="611"/>
      <c r="BQ21" s="611"/>
    </row>
    <row r="22" spans="1:69" s="612" customFormat="1" ht="94.5">
      <c r="A22" s="606" t="s">
        <v>265</v>
      </c>
      <c r="B22" s="607" t="s">
        <v>549</v>
      </c>
      <c r="C22" s="628" t="s">
        <v>552</v>
      </c>
      <c r="D22" s="624" t="s">
        <v>550</v>
      </c>
      <c r="E22" s="609">
        <f t="shared" si="0"/>
        <v>3916.19</v>
      </c>
      <c r="F22" s="609">
        <f>SUM(F23:F26)</f>
        <v>2163.29</v>
      </c>
      <c r="G22" s="609">
        <f>SUM(G23:G26)</f>
        <v>1752.9</v>
      </c>
      <c r="H22" s="609">
        <f>SUM(H23:H26)</f>
        <v>0</v>
      </c>
      <c r="I22" s="609">
        <f>SUM(J22:L22)</f>
        <v>2127.8227500000003</v>
      </c>
      <c r="J22" s="609">
        <f>SUM(J23:J26)</f>
        <v>1599.7283</v>
      </c>
      <c r="K22" s="609">
        <f>SUM(K23:K26)</f>
        <v>173.78068999999999</v>
      </c>
      <c r="L22" s="609">
        <f>SUM(L23:L26)</f>
        <v>354.31376</v>
      </c>
      <c r="M22" s="611"/>
      <c r="N22" s="611"/>
      <c r="O22" s="611"/>
      <c r="P22" s="611"/>
      <c r="Q22" s="611"/>
      <c r="R22" s="611"/>
      <c r="S22" s="611"/>
      <c r="T22" s="611"/>
      <c r="U22" s="611"/>
      <c r="V22" s="611"/>
      <c r="W22" s="611"/>
      <c r="X22" s="611"/>
      <c r="Y22" s="611"/>
      <c r="Z22" s="611"/>
      <c r="AA22" s="611"/>
      <c r="AB22" s="611"/>
      <c r="AC22" s="611"/>
      <c r="AD22" s="611"/>
      <c r="AE22" s="611"/>
      <c r="AF22" s="611"/>
      <c r="AG22" s="611"/>
      <c r="AH22" s="611"/>
      <c r="AI22" s="611"/>
      <c r="AJ22" s="611"/>
      <c r="AK22" s="611"/>
      <c r="AL22" s="611"/>
      <c r="AM22" s="611"/>
      <c r="AN22" s="611"/>
      <c r="AO22" s="611"/>
      <c r="AP22" s="611"/>
      <c r="AQ22" s="611"/>
      <c r="AR22" s="611"/>
      <c r="AS22" s="611"/>
      <c r="AT22" s="611"/>
      <c r="AU22" s="611"/>
      <c r="AV22" s="611"/>
      <c r="AW22" s="611"/>
      <c r="AX22" s="611"/>
      <c r="AY22" s="611"/>
      <c r="AZ22" s="611"/>
      <c r="BA22" s="611"/>
      <c r="BB22" s="611"/>
      <c r="BC22" s="611"/>
      <c r="BD22" s="611"/>
      <c r="BE22" s="611"/>
      <c r="BF22" s="611"/>
      <c r="BG22" s="611"/>
      <c r="BH22" s="611"/>
      <c r="BI22" s="611"/>
      <c r="BJ22" s="611"/>
      <c r="BK22" s="611"/>
      <c r="BL22" s="611"/>
      <c r="BM22" s="611"/>
      <c r="BN22" s="611"/>
      <c r="BO22" s="611"/>
      <c r="BP22" s="611"/>
      <c r="BQ22" s="611"/>
    </row>
    <row r="23" spans="1:69" s="621" customFormat="1" ht="89.25">
      <c r="A23" s="613"/>
      <c r="B23" s="614" t="s">
        <v>678</v>
      </c>
      <c r="C23" s="616" t="s">
        <v>680</v>
      </c>
      <c r="D23" s="616" t="s">
        <v>550</v>
      </c>
      <c r="E23" s="618">
        <f t="shared" si="0"/>
        <v>0</v>
      </c>
      <c r="F23" s="618">
        <v>0</v>
      </c>
      <c r="G23" s="618">
        <v>0</v>
      </c>
      <c r="H23" s="618">
        <v>0</v>
      </c>
      <c r="I23" s="617">
        <f t="shared" ref="I23:I35" si="2">SUM(J23:L23)</f>
        <v>0</v>
      </c>
      <c r="J23" s="617">
        <v>0</v>
      </c>
      <c r="K23" s="619">
        <v>0</v>
      </c>
      <c r="L23" s="617">
        <v>0</v>
      </c>
      <c r="M23" s="620"/>
      <c r="N23" s="620"/>
      <c r="O23" s="620"/>
      <c r="P23" s="620"/>
      <c r="Q23" s="620"/>
      <c r="R23" s="620"/>
      <c r="S23" s="620"/>
      <c r="T23" s="620"/>
      <c r="U23" s="620"/>
      <c r="V23" s="620"/>
      <c r="W23" s="620"/>
      <c r="X23" s="620"/>
      <c r="Y23" s="620"/>
      <c r="Z23" s="620"/>
      <c r="AA23" s="620"/>
      <c r="AB23" s="620"/>
      <c r="AC23" s="620"/>
      <c r="AD23" s="620"/>
      <c r="AE23" s="620"/>
      <c r="AF23" s="620"/>
      <c r="AG23" s="620"/>
      <c r="AH23" s="620"/>
      <c r="AI23" s="620"/>
      <c r="AJ23" s="620"/>
      <c r="AK23" s="620"/>
      <c r="AL23" s="620"/>
      <c r="AM23" s="620"/>
      <c r="AN23" s="620"/>
      <c r="AO23" s="620"/>
      <c r="AP23" s="620"/>
      <c r="AQ23" s="620"/>
      <c r="AR23" s="620"/>
      <c r="AS23" s="620"/>
      <c r="AT23" s="620"/>
      <c r="AU23" s="620"/>
      <c r="AV23" s="620"/>
      <c r="AW23" s="620"/>
      <c r="AX23" s="620"/>
      <c r="AY23" s="620"/>
      <c r="AZ23" s="620"/>
      <c r="BA23" s="620"/>
      <c r="BB23" s="620"/>
      <c r="BC23" s="620"/>
      <c r="BD23" s="620"/>
      <c r="BE23" s="620"/>
      <c r="BF23" s="620"/>
      <c r="BG23" s="620"/>
      <c r="BH23" s="620"/>
      <c r="BI23" s="620"/>
      <c r="BJ23" s="620"/>
      <c r="BK23" s="620"/>
      <c r="BL23" s="620"/>
      <c r="BM23" s="620"/>
      <c r="BN23" s="620"/>
      <c r="BO23" s="620"/>
      <c r="BP23" s="620"/>
      <c r="BQ23" s="620"/>
    </row>
    <row r="24" spans="1:69" s="621" customFormat="1" ht="105" customHeight="1">
      <c r="A24" s="613"/>
      <c r="B24" s="614" t="s">
        <v>679</v>
      </c>
      <c r="C24" s="629" t="s">
        <v>552</v>
      </c>
      <c r="D24" s="616" t="s">
        <v>550</v>
      </c>
      <c r="E24" s="618">
        <f t="shared" si="0"/>
        <v>292.90000000000003</v>
      </c>
      <c r="F24" s="618">
        <v>0</v>
      </c>
      <c r="G24" s="618">
        <v>292.90000000000003</v>
      </c>
      <c r="H24" s="618">
        <v>0</v>
      </c>
      <c r="I24" s="617">
        <f t="shared" si="2"/>
        <v>173.78068999999999</v>
      </c>
      <c r="J24" s="617">
        <v>0</v>
      </c>
      <c r="K24" s="619">
        <v>173.78068999999999</v>
      </c>
      <c r="L24" s="617">
        <v>0</v>
      </c>
      <c r="M24" s="620"/>
      <c r="N24" s="620"/>
      <c r="O24" s="620"/>
      <c r="P24" s="620"/>
      <c r="Q24" s="620"/>
      <c r="R24" s="620"/>
      <c r="S24" s="620"/>
      <c r="T24" s="620"/>
      <c r="U24" s="620"/>
      <c r="V24" s="620"/>
      <c r="W24" s="620"/>
      <c r="X24" s="620"/>
      <c r="Y24" s="620"/>
      <c r="Z24" s="620"/>
      <c r="AA24" s="620"/>
      <c r="AB24" s="620"/>
      <c r="AC24" s="620"/>
      <c r="AD24" s="620"/>
      <c r="AE24" s="620"/>
      <c r="AF24" s="620"/>
      <c r="AG24" s="620"/>
      <c r="AH24" s="620"/>
      <c r="AI24" s="620"/>
      <c r="AJ24" s="620"/>
      <c r="AK24" s="620"/>
      <c r="AL24" s="620"/>
      <c r="AM24" s="620"/>
      <c r="AN24" s="620"/>
      <c r="AO24" s="620"/>
      <c r="AP24" s="620"/>
      <c r="AQ24" s="620"/>
      <c r="AR24" s="620"/>
      <c r="AS24" s="620"/>
      <c r="AT24" s="620"/>
      <c r="AU24" s="620"/>
      <c r="AV24" s="620"/>
      <c r="AW24" s="620"/>
      <c r="AX24" s="620"/>
      <c r="AY24" s="620"/>
      <c r="AZ24" s="620"/>
      <c r="BA24" s="620"/>
      <c r="BB24" s="620"/>
      <c r="BC24" s="620"/>
      <c r="BD24" s="620"/>
      <c r="BE24" s="620"/>
      <c r="BF24" s="620"/>
      <c r="BG24" s="620"/>
      <c r="BH24" s="620"/>
      <c r="BI24" s="620"/>
      <c r="BJ24" s="620"/>
      <c r="BK24" s="620"/>
      <c r="BL24" s="620"/>
      <c r="BM24" s="620"/>
      <c r="BN24" s="620"/>
      <c r="BO24" s="620"/>
      <c r="BP24" s="620"/>
      <c r="BQ24" s="620"/>
    </row>
    <row r="25" spans="1:69" s="621" customFormat="1" ht="63.75">
      <c r="A25" s="613"/>
      <c r="B25" s="630" t="s">
        <v>681</v>
      </c>
      <c r="C25" s="616" t="s">
        <v>551</v>
      </c>
      <c r="D25" s="616" t="s">
        <v>550</v>
      </c>
      <c r="E25" s="617">
        <f t="shared" si="0"/>
        <v>0</v>
      </c>
      <c r="F25" s="617">
        <v>0</v>
      </c>
      <c r="G25" s="617">
        <v>0</v>
      </c>
      <c r="H25" s="617">
        <v>0</v>
      </c>
      <c r="I25" s="617">
        <f t="shared" si="2"/>
        <v>0</v>
      </c>
      <c r="J25" s="617">
        <v>0</v>
      </c>
      <c r="K25" s="619">
        <v>0</v>
      </c>
      <c r="L25" s="617">
        <v>0</v>
      </c>
      <c r="M25" s="620"/>
      <c r="N25" s="620"/>
      <c r="O25" s="620"/>
      <c r="P25" s="620"/>
      <c r="Q25" s="620"/>
      <c r="R25" s="620"/>
      <c r="S25" s="620"/>
      <c r="T25" s="620"/>
      <c r="U25" s="620"/>
      <c r="V25" s="620"/>
      <c r="W25" s="620"/>
      <c r="X25" s="620"/>
      <c r="Y25" s="620"/>
      <c r="Z25" s="620"/>
      <c r="AA25" s="620"/>
      <c r="AB25" s="620"/>
      <c r="AC25" s="620"/>
      <c r="AD25" s="620"/>
      <c r="AE25" s="620"/>
      <c r="AF25" s="620"/>
      <c r="AG25" s="620"/>
      <c r="AH25" s="620"/>
      <c r="AI25" s="620"/>
      <c r="AJ25" s="620"/>
      <c r="AK25" s="620"/>
      <c r="AL25" s="620"/>
      <c r="AM25" s="620"/>
      <c r="AN25" s="620"/>
      <c r="AO25" s="620"/>
      <c r="AP25" s="620"/>
      <c r="AQ25" s="620"/>
      <c r="AR25" s="620"/>
      <c r="AS25" s="620"/>
      <c r="AT25" s="620"/>
      <c r="AU25" s="620"/>
      <c r="AV25" s="620"/>
      <c r="AW25" s="620"/>
      <c r="AX25" s="620"/>
      <c r="AY25" s="620"/>
      <c r="AZ25" s="620"/>
      <c r="BA25" s="620"/>
      <c r="BB25" s="620"/>
      <c r="BC25" s="620"/>
      <c r="BD25" s="620"/>
      <c r="BE25" s="620"/>
      <c r="BF25" s="620"/>
      <c r="BG25" s="620"/>
      <c r="BH25" s="620"/>
      <c r="BI25" s="620"/>
      <c r="BJ25" s="620"/>
      <c r="BK25" s="620"/>
      <c r="BL25" s="620"/>
      <c r="BM25" s="620"/>
      <c r="BN25" s="620"/>
      <c r="BO25" s="620"/>
      <c r="BP25" s="620"/>
      <c r="BQ25" s="620"/>
    </row>
    <row r="26" spans="1:69" s="621" customFormat="1" ht="25.5">
      <c r="A26" s="613"/>
      <c r="B26" s="614" t="s">
        <v>682</v>
      </c>
      <c r="C26" s="629" t="s">
        <v>62</v>
      </c>
      <c r="D26" s="616" t="s">
        <v>543</v>
      </c>
      <c r="E26" s="617">
        <f t="shared" si="0"/>
        <v>3623.29</v>
      </c>
      <c r="F26" s="617">
        <v>2163.29</v>
      </c>
      <c r="G26" s="617">
        <v>1460</v>
      </c>
      <c r="H26" s="617">
        <v>0</v>
      </c>
      <c r="I26" s="617">
        <f t="shared" si="2"/>
        <v>1954.04206</v>
      </c>
      <c r="J26" s="617">
        <v>1599.7283</v>
      </c>
      <c r="K26" s="619">
        <v>0</v>
      </c>
      <c r="L26" s="617">
        <f>44.16512+310.14864</f>
        <v>354.31376</v>
      </c>
      <c r="M26" s="620"/>
      <c r="N26" s="620"/>
      <c r="O26" s="620"/>
      <c r="P26" s="620"/>
      <c r="Q26" s="620"/>
      <c r="R26" s="620"/>
      <c r="S26" s="620"/>
      <c r="T26" s="620"/>
      <c r="U26" s="620"/>
      <c r="V26" s="620"/>
      <c r="W26" s="620"/>
      <c r="X26" s="620"/>
      <c r="Y26" s="620"/>
      <c r="Z26" s="620"/>
      <c r="AA26" s="620"/>
      <c r="AB26" s="620"/>
      <c r="AC26" s="620"/>
      <c r="AD26" s="620"/>
      <c r="AE26" s="620"/>
      <c r="AF26" s="620"/>
      <c r="AG26" s="620"/>
      <c r="AH26" s="620"/>
      <c r="AI26" s="620"/>
      <c r="AJ26" s="620"/>
      <c r="AK26" s="620"/>
      <c r="AL26" s="620"/>
      <c r="AM26" s="620"/>
      <c r="AN26" s="620"/>
      <c r="AO26" s="620"/>
      <c r="AP26" s="620"/>
      <c r="AQ26" s="620"/>
      <c r="AR26" s="620"/>
      <c r="AS26" s="620"/>
      <c r="AT26" s="620"/>
      <c r="AU26" s="620"/>
      <c r="AV26" s="620"/>
      <c r="AW26" s="620"/>
      <c r="AX26" s="620"/>
      <c r="AY26" s="620"/>
      <c r="AZ26" s="620"/>
      <c r="BA26" s="620"/>
      <c r="BB26" s="620"/>
      <c r="BC26" s="620"/>
      <c r="BD26" s="620"/>
      <c r="BE26" s="620"/>
      <c r="BF26" s="620"/>
      <c r="BG26" s="620"/>
      <c r="BH26" s="620"/>
      <c r="BI26" s="620"/>
      <c r="BJ26" s="620"/>
      <c r="BK26" s="620"/>
      <c r="BL26" s="620"/>
      <c r="BM26" s="620"/>
      <c r="BN26" s="620"/>
      <c r="BO26" s="620"/>
      <c r="BP26" s="620"/>
      <c r="BQ26" s="620"/>
    </row>
    <row r="27" spans="1:69" s="612" customFormat="1" ht="63">
      <c r="A27" s="606" t="s">
        <v>427</v>
      </c>
      <c r="B27" s="631" t="s">
        <v>430</v>
      </c>
      <c r="C27" s="632" t="s">
        <v>62</v>
      </c>
      <c r="D27" s="624" t="s">
        <v>543</v>
      </c>
      <c r="E27" s="609">
        <f t="shared" si="0"/>
        <v>4838.03</v>
      </c>
      <c r="F27" s="609">
        <f>SUM(F28:F30)</f>
        <v>3123.45</v>
      </c>
      <c r="G27" s="609">
        <f>SUM(G28:G30)</f>
        <v>1714.58</v>
      </c>
      <c r="H27" s="609">
        <f>SUM(H28:H30)</f>
        <v>0</v>
      </c>
      <c r="I27" s="609">
        <f t="shared" si="2"/>
        <v>2624.66644</v>
      </c>
      <c r="J27" s="609">
        <f>SUM(J28:J30)</f>
        <v>1898.33044</v>
      </c>
      <c r="K27" s="609">
        <f>SUM(K28:K30)</f>
        <v>726.33600000000001</v>
      </c>
      <c r="L27" s="609">
        <f>SUM(L28:L30)</f>
        <v>0</v>
      </c>
      <c r="M27" s="611"/>
      <c r="N27" s="611"/>
      <c r="O27" s="611"/>
      <c r="P27" s="611"/>
      <c r="Q27" s="611"/>
      <c r="R27" s="611"/>
      <c r="S27" s="611"/>
      <c r="T27" s="611"/>
      <c r="U27" s="611"/>
      <c r="V27" s="611"/>
      <c r="W27" s="611"/>
      <c r="X27" s="611"/>
      <c r="Y27" s="611"/>
      <c r="Z27" s="611"/>
      <c r="AA27" s="611"/>
      <c r="AB27" s="611"/>
      <c r="AC27" s="611"/>
      <c r="AD27" s="611"/>
      <c r="AE27" s="611"/>
      <c r="AF27" s="611"/>
      <c r="AG27" s="611"/>
      <c r="AH27" s="611"/>
      <c r="AI27" s="611"/>
      <c r="AJ27" s="611"/>
      <c r="AK27" s="611"/>
      <c r="AL27" s="611"/>
      <c r="AM27" s="611"/>
      <c r="AN27" s="611"/>
      <c r="AO27" s="611"/>
      <c r="AP27" s="611"/>
      <c r="AQ27" s="611"/>
      <c r="AR27" s="611"/>
      <c r="AS27" s="611"/>
      <c r="AT27" s="611"/>
      <c r="AU27" s="611"/>
      <c r="AV27" s="611"/>
      <c r="AW27" s="611"/>
      <c r="AX27" s="611"/>
      <c r="AY27" s="611"/>
      <c r="AZ27" s="611"/>
      <c r="BA27" s="611"/>
      <c r="BB27" s="611"/>
      <c r="BC27" s="611"/>
      <c r="BD27" s="611"/>
      <c r="BE27" s="611"/>
      <c r="BF27" s="611"/>
      <c r="BG27" s="611"/>
      <c r="BH27" s="611"/>
      <c r="BI27" s="611"/>
      <c r="BJ27" s="611"/>
      <c r="BK27" s="611"/>
      <c r="BL27" s="611"/>
      <c r="BM27" s="611"/>
      <c r="BN27" s="611"/>
      <c r="BO27" s="611"/>
      <c r="BP27" s="611"/>
      <c r="BQ27" s="611"/>
    </row>
    <row r="28" spans="1:69" s="621" customFormat="1" ht="25.5">
      <c r="A28" s="613"/>
      <c r="B28" s="614" t="s">
        <v>619</v>
      </c>
      <c r="C28" s="629" t="s">
        <v>62</v>
      </c>
      <c r="D28" s="616" t="s">
        <v>543</v>
      </c>
      <c r="E28" s="617">
        <f t="shared" si="0"/>
        <v>3108.87</v>
      </c>
      <c r="F28" s="617">
        <v>3108.87</v>
      </c>
      <c r="G28" s="617">
        <v>0</v>
      </c>
      <c r="H28" s="617">
        <v>0</v>
      </c>
      <c r="I28" s="617">
        <f t="shared" si="2"/>
        <v>1894.65201</v>
      </c>
      <c r="J28" s="617">
        <v>1894.65201</v>
      </c>
      <c r="K28" s="619">
        <v>0</v>
      </c>
      <c r="L28" s="617">
        <v>0</v>
      </c>
      <c r="M28" s="620"/>
      <c r="N28" s="620"/>
      <c r="O28" s="620"/>
      <c r="P28" s="620"/>
      <c r="Q28" s="620"/>
      <c r="R28" s="620"/>
      <c r="S28" s="620"/>
      <c r="T28" s="620"/>
      <c r="U28" s="620"/>
      <c r="V28" s="620"/>
      <c r="W28" s="620"/>
      <c r="X28" s="620"/>
      <c r="Y28" s="620"/>
      <c r="Z28" s="620"/>
      <c r="AA28" s="620"/>
      <c r="AB28" s="620"/>
      <c r="AC28" s="620"/>
      <c r="AD28" s="620"/>
      <c r="AE28" s="620"/>
      <c r="AF28" s="620"/>
      <c r="AG28" s="620"/>
      <c r="AH28" s="620"/>
      <c r="AI28" s="620"/>
      <c r="AJ28" s="620"/>
      <c r="AK28" s="620"/>
      <c r="AL28" s="620"/>
      <c r="AM28" s="620"/>
      <c r="AN28" s="620"/>
      <c r="AO28" s="620"/>
      <c r="AP28" s="620"/>
      <c r="AQ28" s="620"/>
      <c r="AR28" s="620"/>
      <c r="AS28" s="620"/>
      <c r="AT28" s="620"/>
      <c r="AU28" s="620"/>
      <c r="AV28" s="620"/>
      <c r="AW28" s="620"/>
      <c r="AX28" s="620"/>
      <c r="AY28" s="620"/>
      <c r="AZ28" s="620"/>
      <c r="BA28" s="620"/>
      <c r="BB28" s="620"/>
      <c r="BC28" s="620"/>
      <c r="BD28" s="620"/>
      <c r="BE28" s="620"/>
      <c r="BF28" s="620"/>
      <c r="BG28" s="620"/>
      <c r="BH28" s="620"/>
      <c r="BI28" s="620"/>
      <c r="BJ28" s="620"/>
      <c r="BK28" s="620"/>
      <c r="BL28" s="620"/>
      <c r="BM28" s="620"/>
      <c r="BN28" s="620"/>
      <c r="BO28" s="620"/>
      <c r="BP28" s="620"/>
      <c r="BQ28" s="620"/>
    </row>
    <row r="29" spans="1:69" s="621" customFormat="1" ht="51">
      <c r="A29" s="613"/>
      <c r="B29" s="614" t="s">
        <v>620</v>
      </c>
      <c r="C29" s="629" t="s">
        <v>62</v>
      </c>
      <c r="D29" s="616" t="s">
        <v>543</v>
      </c>
      <c r="E29" s="617">
        <f t="shared" si="0"/>
        <v>1714.58</v>
      </c>
      <c r="F29" s="617">
        <v>0</v>
      </c>
      <c r="G29" s="617">
        <v>1714.58</v>
      </c>
      <c r="H29" s="617">
        <v>0</v>
      </c>
      <c r="I29" s="617">
        <f t="shared" si="2"/>
        <v>726.33600000000001</v>
      </c>
      <c r="J29" s="617">
        <v>0</v>
      </c>
      <c r="K29" s="619">
        <v>726.33600000000001</v>
      </c>
      <c r="L29" s="617">
        <v>0</v>
      </c>
      <c r="M29" s="620"/>
      <c r="N29" s="620"/>
      <c r="O29" s="620"/>
      <c r="P29" s="620"/>
      <c r="Q29" s="620"/>
      <c r="R29" s="620"/>
      <c r="S29" s="620"/>
      <c r="T29" s="620"/>
      <c r="U29" s="620"/>
      <c r="V29" s="620"/>
      <c r="W29" s="620"/>
      <c r="X29" s="620"/>
      <c r="Y29" s="620"/>
      <c r="Z29" s="620"/>
      <c r="AA29" s="620"/>
      <c r="AB29" s="620"/>
      <c r="AC29" s="620"/>
      <c r="AD29" s="620"/>
      <c r="AE29" s="620"/>
      <c r="AF29" s="620"/>
      <c r="AG29" s="620"/>
      <c r="AH29" s="620"/>
      <c r="AI29" s="620"/>
      <c r="AJ29" s="620"/>
      <c r="AK29" s="620"/>
      <c r="AL29" s="620"/>
      <c r="AM29" s="620"/>
      <c r="AN29" s="620"/>
      <c r="AO29" s="620"/>
      <c r="AP29" s="620"/>
      <c r="AQ29" s="620"/>
      <c r="AR29" s="620"/>
      <c r="AS29" s="620"/>
      <c r="AT29" s="620"/>
      <c r="AU29" s="620"/>
      <c r="AV29" s="620"/>
      <c r="AW29" s="620"/>
      <c r="AX29" s="620"/>
      <c r="AY29" s="620"/>
      <c r="AZ29" s="620"/>
      <c r="BA29" s="620"/>
      <c r="BB29" s="620"/>
      <c r="BC29" s="620"/>
      <c r="BD29" s="620"/>
      <c r="BE29" s="620"/>
      <c r="BF29" s="620"/>
      <c r="BG29" s="620"/>
      <c r="BH29" s="620"/>
      <c r="BI29" s="620"/>
      <c r="BJ29" s="620"/>
      <c r="BK29" s="620"/>
      <c r="BL29" s="620"/>
      <c r="BM29" s="620"/>
      <c r="BN29" s="620"/>
      <c r="BO29" s="620"/>
      <c r="BP29" s="620"/>
      <c r="BQ29" s="620"/>
    </row>
    <row r="30" spans="1:69" s="621" customFormat="1" ht="44.25" customHeight="1">
      <c r="A30" s="613"/>
      <c r="B30" s="614" t="s">
        <v>621</v>
      </c>
      <c r="C30" s="629" t="s">
        <v>62</v>
      </c>
      <c r="D30" s="616" t="s">
        <v>543</v>
      </c>
      <c r="E30" s="617">
        <f t="shared" si="0"/>
        <v>14.58</v>
      </c>
      <c r="F30" s="617">
        <v>14.58</v>
      </c>
      <c r="G30" s="617">
        <v>0</v>
      </c>
      <c r="H30" s="617">
        <v>0</v>
      </c>
      <c r="I30" s="617">
        <f t="shared" si="2"/>
        <v>3.6784300000000001</v>
      </c>
      <c r="J30" s="617">
        <v>3.6784300000000001</v>
      </c>
      <c r="K30" s="619">
        <v>0</v>
      </c>
      <c r="L30" s="617">
        <v>0</v>
      </c>
      <c r="M30" s="620"/>
      <c r="N30" s="620"/>
      <c r="O30" s="620"/>
      <c r="P30" s="620"/>
      <c r="Q30" s="620"/>
      <c r="R30" s="620"/>
      <c r="S30" s="620"/>
      <c r="T30" s="620"/>
      <c r="U30" s="620"/>
      <c r="V30" s="620"/>
      <c r="W30" s="620"/>
      <c r="X30" s="620"/>
      <c r="Y30" s="620"/>
      <c r="Z30" s="620"/>
      <c r="AA30" s="620"/>
      <c r="AB30" s="620"/>
      <c r="AC30" s="620"/>
      <c r="AD30" s="620"/>
      <c r="AE30" s="620"/>
      <c r="AF30" s="620"/>
      <c r="AG30" s="620"/>
      <c r="AH30" s="620"/>
      <c r="AI30" s="620"/>
      <c r="AJ30" s="620"/>
      <c r="AK30" s="620"/>
      <c r="AL30" s="620"/>
      <c r="AM30" s="620"/>
      <c r="AN30" s="620"/>
      <c r="AO30" s="620"/>
      <c r="AP30" s="620"/>
      <c r="AQ30" s="620"/>
      <c r="AR30" s="620"/>
      <c r="AS30" s="620"/>
      <c r="AT30" s="620"/>
      <c r="AU30" s="620"/>
      <c r="AV30" s="620"/>
      <c r="AW30" s="620"/>
      <c r="AX30" s="620"/>
      <c r="AY30" s="620"/>
      <c r="AZ30" s="620"/>
      <c r="BA30" s="620"/>
      <c r="BB30" s="620"/>
      <c r="BC30" s="620"/>
      <c r="BD30" s="620"/>
      <c r="BE30" s="620"/>
      <c r="BF30" s="620"/>
      <c r="BG30" s="620"/>
      <c r="BH30" s="620"/>
      <c r="BI30" s="620"/>
      <c r="BJ30" s="620"/>
      <c r="BK30" s="620"/>
      <c r="BL30" s="620"/>
      <c r="BM30" s="620"/>
      <c r="BN30" s="620"/>
      <c r="BO30" s="620"/>
      <c r="BP30" s="620"/>
      <c r="BQ30" s="620"/>
    </row>
    <row r="31" spans="1:69" s="612" customFormat="1" ht="110.25">
      <c r="A31" s="606" t="s">
        <v>283</v>
      </c>
      <c r="B31" s="631" t="s">
        <v>432</v>
      </c>
      <c r="C31" s="608" t="s">
        <v>585</v>
      </c>
      <c r="D31" s="608" t="s">
        <v>543</v>
      </c>
      <c r="E31" s="609">
        <f t="shared" si="0"/>
        <v>300</v>
      </c>
      <c r="F31" s="609">
        <v>0</v>
      </c>
      <c r="G31" s="609">
        <v>0</v>
      </c>
      <c r="H31" s="625">
        <v>300</v>
      </c>
      <c r="I31" s="609">
        <f t="shared" si="2"/>
        <v>0</v>
      </c>
      <c r="J31" s="609">
        <v>0</v>
      </c>
      <c r="K31" s="626">
        <v>0</v>
      </c>
      <c r="L31" s="609">
        <v>0</v>
      </c>
      <c r="M31" s="611"/>
      <c r="N31" s="611"/>
      <c r="O31" s="611"/>
      <c r="P31" s="611"/>
      <c r="Q31" s="611"/>
      <c r="R31" s="611"/>
      <c r="S31" s="611"/>
      <c r="T31" s="611"/>
      <c r="U31" s="611"/>
      <c r="V31" s="611"/>
      <c r="W31" s="611"/>
      <c r="X31" s="611"/>
      <c r="Y31" s="611"/>
      <c r="Z31" s="611"/>
      <c r="AA31" s="611"/>
      <c r="AB31" s="611"/>
      <c r="AC31" s="611"/>
      <c r="AD31" s="611"/>
      <c r="AE31" s="611"/>
      <c r="AF31" s="611"/>
      <c r="AG31" s="611"/>
      <c r="AH31" s="611"/>
      <c r="AI31" s="611"/>
      <c r="AJ31" s="611"/>
      <c r="AK31" s="611"/>
      <c r="AL31" s="611"/>
      <c r="AM31" s="611"/>
      <c r="AN31" s="611"/>
      <c r="AO31" s="611"/>
      <c r="AP31" s="611"/>
      <c r="AQ31" s="611"/>
      <c r="AR31" s="611"/>
      <c r="AS31" s="611"/>
      <c r="AT31" s="611"/>
      <c r="AU31" s="611"/>
      <c r="AV31" s="611"/>
      <c r="AW31" s="611"/>
      <c r="AX31" s="611"/>
      <c r="AY31" s="611"/>
      <c r="AZ31" s="611"/>
      <c r="BA31" s="611"/>
      <c r="BB31" s="611"/>
      <c r="BC31" s="611"/>
      <c r="BD31" s="611"/>
      <c r="BE31" s="611"/>
      <c r="BF31" s="611"/>
      <c r="BG31" s="611"/>
      <c r="BH31" s="611"/>
      <c r="BI31" s="611"/>
      <c r="BJ31" s="611"/>
      <c r="BK31" s="611"/>
      <c r="BL31" s="611"/>
      <c r="BM31" s="611"/>
      <c r="BN31" s="611"/>
      <c r="BO31" s="611"/>
      <c r="BP31" s="611"/>
      <c r="BQ31" s="611"/>
    </row>
    <row r="32" spans="1:69" s="605" customFormat="1" ht="63">
      <c r="A32" s="598" t="s">
        <v>78</v>
      </c>
      <c r="B32" s="633" t="s">
        <v>77</v>
      </c>
      <c r="C32" s="600"/>
      <c r="D32" s="633"/>
      <c r="E32" s="601">
        <f t="shared" si="0"/>
        <v>7242.68</v>
      </c>
      <c r="F32" s="601">
        <f>F33+F34+F35+F39+F40</f>
        <v>0</v>
      </c>
      <c r="G32" s="601">
        <f>G33+G34+G35+G39+G40</f>
        <v>6080.38</v>
      </c>
      <c r="H32" s="601">
        <f>H33+H34+H35+H39+H40</f>
        <v>1162.3</v>
      </c>
      <c r="I32" s="601">
        <f t="shared" si="2"/>
        <v>3957.0510199999999</v>
      </c>
      <c r="J32" s="601">
        <f>SUM(J33+J34+J35+J39+J40)</f>
        <v>0.80296000000000001</v>
      </c>
      <c r="K32" s="601">
        <f>SUM(K33+K34+K35+K39+K40)</f>
        <v>0</v>
      </c>
      <c r="L32" s="601">
        <f>SUM(L33+L34+L35+L39+L40)</f>
        <v>3956.2480599999999</v>
      </c>
      <c r="M32" s="603"/>
      <c r="N32" s="604"/>
      <c r="O32" s="603"/>
      <c r="P32" s="603"/>
      <c r="Q32" s="603"/>
      <c r="R32" s="603"/>
      <c r="S32" s="603"/>
      <c r="T32" s="603"/>
      <c r="U32" s="603"/>
      <c r="V32" s="603"/>
      <c r="W32" s="603"/>
      <c r="X32" s="603"/>
      <c r="Y32" s="603"/>
      <c r="Z32" s="603"/>
      <c r="AA32" s="603"/>
      <c r="AB32" s="603"/>
      <c r="AC32" s="603"/>
      <c r="AD32" s="603"/>
      <c r="AE32" s="603"/>
      <c r="AF32" s="603"/>
      <c r="AG32" s="603"/>
      <c r="AH32" s="603"/>
      <c r="AI32" s="603"/>
      <c r="AJ32" s="603"/>
      <c r="AK32" s="603"/>
      <c r="AL32" s="603"/>
      <c r="AM32" s="603"/>
      <c r="AN32" s="603"/>
      <c r="AO32" s="603"/>
      <c r="AP32" s="603"/>
      <c r="AQ32" s="603"/>
      <c r="AR32" s="603"/>
      <c r="AS32" s="603"/>
      <c r="AT32" s="603"/>
      <c r="AU32" s="603"/>
      <c r="AV32" s="603"/>
      <c r="AW32" s="603"/>
      <c r="AX32" s="603"/>
      <c r="AY32" s="603"/>
      <c r="AZ32" s="603"/>
      <c r="BA32" s="603"/>
      <c r="BB32" s="603"/>
      <c r="BC32" s="603"/>
      <c r="BD32" s="603"/>
      <c r="BE32" s="603"/>
      <c r="BF32" s="603"/>
      <c r="BG32" s="603"/>
      <c r="BH32" s="603"/>
      <c r="BI32" s="603"/>
      <c r="BJ32" s="603"/>
      <c r="BK32" s="603"/>
      <c r="BL32" s="603"/>
      <c r="BM32" s="603"/>
      <c r="BN32" s="603"/>
      <c r="BO32" s="603"/>
      <c r="BP32" s="603"/>
      <c r="BQ32" s="603"/>
    </row>
    <row r="33" spans="1:69" s="612" customFormat="1" ht="63">
      <c r="A33" s="606" t="s">
        <v>296</v>
      </c>
      <c r="B33" s="631" t="s">
        <v>433</v>
      </c>
      <c r="C33" s="608" t="s">
        <v>553</v>
      </c>
      <c r="D33" s="608" t="s">
        <v>543</v>
      </c>
      <c r="E33" s="609">
        <f t="shared" si="0"/>
        <v>6080.38</v>
      </c>
      <c r="F33" s="609">
        <v>0</v>
      </c>
      <c r="G33" s="625">
        <v>6080.38</v>
      </c>
      <c r="H33" s="609">
        <v>0</v>
      </c>
      <c r="I33" s="609">
        <f t="shared" si="2"/>
        <v>765.78710000000001</v>
      </c>
      <c r="J33" s="609">
        <v>0</v>
      </c>
      <c r="K33" s="626">
        <v>0</v>
      </c>
      <c r="L33" s="609">
        <v>765.78710000000001</v>
      </c>
      <c r="M33" s="611"/>
      <c r="N33" s="634"/>
      <c r="O33" s="611"/>
      <c r="P33" s="611"/>
      <c r="Q33" s="611"/>
      <c r="R33" s="611"/>
      <c r="S33" s="611"/>
      <c r="T33" s="611"/>
      <c r="U33" s="611"/>
      <c r="V33" s="611"/>
      <c r="W33" s="611"/>
      <c r="X33" s="611"/>
      <c r="Y33" s="611"/>
      <c r="Z33" s="611"/>
      <c r="AA33" s="611"/>
      <c r="AB33" s="611"/>
      <c r="AC33" s="611"/>
      <c r="AD33" s="611"/>
      <c r="AE33" s="611"/>
      <c r="AF33" s="611"/>
      <c r="AG33" s="611"/>
      <c r="AH33" s="611"/>
      <c r="AI33" s="611"/>
      <c r="AJ33" s="611"/>
      <c r="AK33" s="611"/>
      <c r="AL33" s="611"/>
      <c r="AM33" s="611"/>
      <c r="AN33" s="611"/>
      <c r="AO33" s="611"/>
      <c r="AP33" s="611"/>
      <c r="AQ33" s="611"/>
      <c r="AR33" s="611"/>
      <c r="AS33" s="611"/>
      <c r="AT33" s="611"/>
      <c r="AU33" s="611"/>
      <c r="AV33" s="611"/>
      <c r="AW33" s="611"/>
      <c r="AX33" s="611"/>
      <c r="AY33" s="611"/>
      <c r="AZ33" s="611"/>
      <c r="BA33" s="611"/>
      <c r="BB33" s="611"/>
      <c r="BC33" s="611"/>
      <c r="BD33" s="611"/>
      <c r="BE33" s="611"/>
      <c r="BF33" s="611"/>
      <c r="BG33" s="611"/>
      <c r="BH33" s="611"/>
      <c r="BI33" s="611"/>
      <c r="BJ33" s="611"/>
      <c r="BK33" s="611"/>
      <c r="BL33" s="611"/>
      <c r="BM33" s="611"/>
      <c r="BN33" s="611"/>
      <c r="BO33" s="611"/>
      <c r="BP33" s="611"/>
      <c r="BQ33" s="611"/>
    </row>
    <row r="34" spans="1:69" s="612" customFormat="1" ht="84" customHeight="1">
      <c r="A34" s="606" t="s">
        <v>297</v>
      </c>
      <c r="B34" s="631" t="s">
        <v>554</v>
      </c>
      <c r="C34" s="608" t="s">
        <v>62</v>
      </c>
      <c r="D34" s="608" t="s">
        <v>543</v>
      </c>
      <c r="E34" s="609">
        <f t="shared" si="0"/>
        <v>0</v>
      </c>
      <c r="F34" s="609">
        <v>0</v>
      </c>
      <c r="G34" s="609">
        <v>0</v>
      </c>
      <c r="H34" s="609">
        <v>0</v>
      </c>
      <c r="I34" s="609">
        <f t="shared" si="2"/>
        <v>0</v>
      </c>
      <c r="J34" s="609">
        <v>0</v>
      </c>
      <c r="K34" s="626">
        <v>0</v>
      </c>
      <c r="L34" s="609">
        <v>0</v>
      </c>
      <c r="M34" s="611"/>
      <c r="N34" s="634"/>
      <c r="O34" s="611"/>
      <c r="P34" s="611"/>
      <c r="Q34" s="611"/>
      <c r="R34" s="611"/>
      <c r="S34" s="611"/>
      <c r="T34" s="611"/>
      <c r="U34" s="611"/>
      <c r="V34" s="611"/>
      <c r="W34" s="611"/>
      <c r="X34" s="611"/>
      <c r="Y34" s="611"/>
      <c r="Z34" s="611"/>
      <c r="AA34" s="611"/>
      <c r="AB34" s="611"/>
      <c r="AC34" s="611"/>
      <c r="AD34" s="611"/>
      <c r="AE34" s="611"/>
      <c r="AF34" s="611"/>
      <c r="AG34" s="611"/>
      <c r="AH34" s="611"/>
      <c r="AI34" s="611"/>
      <c r="AJ34" s="611"/>
      <c r="AK34" s="611"/>
      <c r="AL34" s="611"/>
      <c r="AM34" s="611"/>
      <c r="AN34" s="611"/>
      <c r="AO34" s="611"/>
      <c r="AP34" s="611"/>
      <c r="AQ34" s="611"/>
      <c r="AR34" s="611"/>
      <c r="AS34" s="611"/>
      <c r="AT34" s="611"/>
      <c r="AU34" s="611"/>
      <c r="AV34" s="611"/>
      <c r="AW34" s="611"/>
      <c r="AX34" s="611"/>
      <c r="AY34" s="611"/>
      <c r="AZ34" s="611"/>
      <c r="BA34" s="611"/>
      <c r="BB34" s="611"/>
      <c r="BC34" s="611"/>
      <c r="BD34" s="611"/>
      <c r="BE34" s="611"/>
      <c r="BF34" s="611"/>
      <c r="BG34" s="611"/>
      <c r="BH34" s="611"/>
      <c r="BI34" s="611"/>
      <c r="BJ34" s="611"/>
      <c r="BK34" s="611"/>
      <c r="BL34" s="611"/>
      <c r="BM34" s="611"/>
      <c r="BN34" s="611"/>
      <c r="BO34" s="611"/>
      <c r="BP34" s="611"/>
      <c r="BQ34" s="611"/>
    </row>
    <row r="35" spans="1:69" s="612" customFormat="1" ht="78.75">
      <c r="A35" s="606" t="s">
        <v>298</v>
      </c>
      <c r="B35" s="635" t="s">
        <v>446</v>
      </c>
      <c r="C35" s="608" t="s">
        <v>555</v>
      </c>
      <c r="D35" s="624" t="s">
        <v>543</v>
      </c>
      <c r="E35" s="609">
        <f t="shared" si="0"/>
        <v>1111.3</v>
      </c>
      <c r="F35" s="609">
        <f>SUM(F36:F38)</f>
        <v>0</v>
      </c>
      <c r="G35" s="609">
        <f>SUM(G36:G38)</f>
        <v>0</v>
      </c>
      <c r="H35" s="609">
        <f>SUM(H36:H38)</f>
        <v>1111.3</v>
      </c>
      <c r="I35" s="609">
        <f t="shared" si="2"/>
        <v>3190.4609599999999</v>
      </c>
      <c r="J35" s="609">
        <f>SUM(J36:J38)</f>
        <v>0</v>
      </c>
      <c r="K35" s="609">
        <f>SUM(K36:K38)</f>
        <v>0</v>
      </c>
      <c r="L35" s="609">
        <f>SUM(L36:L38)</f>
        <v>3190.4609599999999</v>
      </c>
      <c r="M35" s="611"/>
      <c r="N35" s="611"/>
      <c r="O35" s="611"/>
      <c r="P35" s="611"/>
      <c r="Q35" s="611"/>
      <c r="R35" s="611"/>
      <c r="S35" s="611"/>
      <c r="T35" s="611"/>
      <c r="U35" s="611"/>
      <c r="V35" s="611"/>
      <c r="W35" s="611"/>
      <c r="X35" s="611"/>
      <c r="Y35" s="611"/>
      <c r="Z35" s="611"/>
      <c r="AA35" s="611"/>
      <c r="AB35" s="611"/>
      <c r="AC35" s="611"/>
      <c r="AD35" s="611"/>
      <c r="AE35" s="611"/>
      <c r="AF35" s="611"/>
      <c r="AG35" s="611"/>
      <c r="AH35" s="611"/>
      <c r="AI35" s="611"/>
      <c r="AJ35" s="611"/>
      <c r="AK35" s="611"/>
      <c r="AL35" s="611"/>
      <c r="AM35" s="611"/>
      <c r="AN35" s="611"/>
      <c r="AO35" s="611"/>
      <c r="AP35" s="611"/>
      <c r="AQ35" s="611"/>
      <c r="AR35" s="611"/>
      <c r="AS35" s="611"/>
      <c r="AT35" s="611"/>
      <c r="AU35" s="611"/>
      <c r="AV35" s="611"/>
      <c r="AW35" s="611"/>
      <c r="AX35" s="611"/>
      <c r="AY35" s="611"/>
      <c r="AZ35" s="611"/>
      <c r="BA35" s="611"/>
      <c r="BB35" s="611"/>
      <c r="BC35" s="611"/>
      <c r="BD35" s="611"/>
      <c r="BE35" s="611"/>
      <c r="BF35" s="611"/>
      <c r="BG35" s="611"/>
      <c r="BH35" s="611"/>
      <c r="BI35" s="611"/>
      <c r="BJ35" s="611"/>
      <c r="BK35" s="611"/>
      <c r="BL35" s="611"/>
      <c r="BM35" s="611"/>
      <c r="BN35" s="611"/>
      <c r="BO35" s="611"/>
      <c r="BP35" s="611"/>
      <c r="BQ35" s="611"/>
    </row>
    <row r="36" spans="1:69" s="621" customFormat="1" ht="55.5" customHeight="1">
      <c r="A36" s="613"/>
      <c r="B36" s="622" t="s">
        <v>622</v>
      </c>
      <c r="C36" s="615" t="s">
        <v>51</v>
      </c>
      <c r="D36" s="616" t="s">
        <v>543</v>
      </c>
      <c r="E36" s="617">
        <f t="shared" si="0"/>
        <v>672</v>
      </c>
      <c r="F36" s="617">
        <v>0</v>
      </c>
      <c r="G36" s="617">
        <v>0</v>
      </c>
      <c r="H36" s="617">
        <v>672</v>
      </c>
      <c r="I36" s="617">
        <f t="shared" ref="I36:I73" si="3">SUM(J36:L36)</f>
        <v>2964.6439599999999</v>
      </c>
      <c r="J36" s="617">
        <v>0</v>
      </c>
      <c r="K36" s="619">
        <v>0</v>
      </c>
      <c r="L36" s="617">
        <v>2964.6439599999999</v>
      </c>
      <c r="M36" s="620"/>
      <c r="N36" s="620"/>
      <c r="O36" s="620"/>
      <c r="P36" s="620"/>
      <c r="Q36" s="620"/>
      <c r="R36" s="620"/>
      <c r="S36" s="620"/>
      <c r="T36" s="620"/>
      <c r="U36" s="620"/>
      <c r="V36" s="620"/>
      <c r="W36" s="620"/>
      <c r="X36" s="620"/>
      <c r="Y36" s="620"/>
      <c r="Z36" s="620"/>
      <c r="AA36" s="620"/>
      <c r="AB36" s="620"/>
      <c r="AC36" s="620"/>
      <c r="AD36" s="620"/>
      <c r="AE36" s="620"/>
      <c r="AF36" s="620"/>
      <c r="AG36" s="620"/>
      <c r="AH36" s="620"/>
      <c r="AI36" s="620"/>
      <c r="AJ36" s="620"/>
      <c r="AK36" s="620"/>
      <c r="AL36" s="620"/>
      <c r="AM36" s="620"/>
      <c r="AN36" s="620"/>
      <c r="AO36" s="620"/>
      <c r="AP36" s="620"/>
      <c r="AQ36" s="620"/>
      <c r="AR36" s="620"/>
      <c r="AS36" s="620"/>
      <c r="AT36" s="620"/>
      <c r="AU36" s="620"/>
      <c r="AV36" s="620"/>
      <c r="AW36" s="620"/>
      <c r="AX36" s="620"/>
      <c r="AY36" s="620"/>
      <c r="AZ36" s="620"/>
      <c r="BA36" s="620"/>
      <c r="BB36" s="620"/>
      <c r="BC36" s="620"/>
      <c r="BD36" s="620"/>
      <c r="BE36" s="620"/>
      <c r="BF36" s="620"/>
      <c r="BG36" s="620"/>
      <c r="BH36" s="620"/>
      <c r="BI36" s="620"/>
      <c r="BJ36" s="620"/>
      <c r="BK36" s="620"/>
      <c r="BL36" s="620"/>
      <c r="BM36" s="620"/>
      <c r="BN36" s="620"/>
      <c r="BO36" s="620"/>
      <c r="BP36" s="620"/>
      <c r="BQ36" s="620"/>
    </row>
    <row r="37" spans="1:69" s="621" customFormat="1" ht="62.25" customHeight="1">
      <c r="A37" s="613"/>
      <c r="B37" s="636" t="s">
        <v>623</v>
      </c>
      <c r="C37" s="616" t="s">
        <v>555</v>
      </c>
      <c r="D37" s="616" t="s">
        <v>543</v>
      </c>
      <c r="E37" s="617">
        <f t="shared" si="0"/>
        <v>136.9</v>
      </c>
      <c r="F37" s="617">
        <v>0</v>
      </c>
      <c r="G37" s="617">
        <v>0</v>
      </c>
      <c r="H37" s="637">
        <v>136.9</v>
      </c>
      <c r="I37" s="617">
        <f t="shared" si="3"/>
        <v>0</v>
      </c>
      <c r="J37" s="617">
        <v>0</v>
      </c>
      <c r="K37" s="619">
        <v>0</v>
      </c>
      <c r="L37" s="617">
        <v>0</v>
      </c>
      <c r="M37" s="620"/>
      <c r="N37" s="620"/>
      <c r="O37" s="620"/>
      <c r="P37" s="620"/>
      <c r="Q37" s="620"/>
      <c r="R37" s="620"/>
      <c r="S37" s="620"/>
      <c r="T37" s="620"/>
      <c r="U37" s="620"/>
      <c r="V37" s="620"/>
      <c r="W37" s="620"/>
      <c r="X37" s="620"/>
      <c r="Y37" s="620"/>
      <c r="Z37" s="620"/>
      <c r="AA37" s="620"/>
      <c r="AB37" s="620"/>
      <c r="AC37" s="620"/>
      <c r="AD37" s="620"/>
      <c r="AE37" s="620"/>
      <c r="AF37" s="620"/>
      <c r="AG37" s="620"/>
      <c r="AH37" s="620"/>
      <c r="AI37" s="620"/>
      <c r="AJ37" s="620"/>
      <c r="AK37" s="620"/>
      <c r="AL37" s="620"/>
      <c r="AM37" s="620"/>
      <c r="AN37" s="620"/>
      <c r="AO37" s="620"/>
      <c r="AP37" s="620"/>
      <c r="AQ37" s="620"/>
      <c r="AR37" s="620"/>
      <c r="AS37" s="620"/>
      <c r="AT37" s="620"/>
      <c r="AU37" s="620"/>
      <c r="AV37" s="620"/>
      <c r="AW37" s="620"/>
      <c r="AX37" s="620"/>
      <c r="AY37" s="620"/>
      <c r="AZ37" s="620"/>
      <c r="BA37" s="620"/>
      <c r="BB37" s="620"/>
      <c r="BC37" s="620"/>
      <c r="BD37" s="620"/>
      <c r="BE37" s="620"/>
      <c r="BF37" s="620"/>
      <c r="BG37" s="620"/>
      <c r="BH37" s="620"/>
      <c r="BI37" s="620"/>
      <c r="BJ37" s="620"/>
      <c r="BK37" s="620"/>
      <c r="BL37" s="620"/>
      <c r="BM37" s="620"/>
      <c r="BN37" s="620"/>
      <c r="BO37" s="620"/>
      <c r="BP37" s="620"/>
      <c r="BQ37" s="620"/>
    </row>
    <row r="38" spans="1:69" s="621" customFormat="1" ht="31.5" customHeight="1">
      <c r="A38" s="613"/>
      <c r="B38" s="622" t="s">
        <v>624</v>
      </c>
      <c r="C38" s="616" t="s">
        <v>51</v>
      </c>
      <c r="D38" s="616" t="s">
        <v>543</v>
      </c>
      <c r="E38" s="617">
        <f t="shared" si="0"/>
        <v>302.39999999999998</v>
      </c>
      <c r="F38" s="617">
        <v>0</v>
      </c>
      <c r="G38" s="617">
        <v>0</v>
      </c>
      <c r="H38" s="637">
        <v>302.39999999999998</v>
      </c>
      <c r="I38" s="617">
        <f t="shared" si="3"/>
        <v>225.81700000000001</v>
      </c>
      <c r="J38" s="617">
        <v>0</v>
      </c>
      <c r="K38" s="619">
        <v>0</v>
      </c>
      <c r="L38" s="617">
        <v>225.81700000000001</v>
      </c>
      <c r="M38" s="620"/>
      <c r="N38" s="620"/>
      <c r="O38" s="620"/>
      <c r="P38" s="620"/>
      <c r="Q38" s="620"/>
      <c r="R38" s="620"/>
      <c r="S38" s="620"/>
      <c r="T38" s="620"/>
      <c r="U38" s="620"/>
      <c r="V38" s="620"/>
      <c r="W38" s="620"/>
      <c r="X38" s="620"/>
      <c r="Y38" s="620"/>
      <c r="Z38" s="620"/>
      <c r="AA38" s="620"/>
      <c r="AB38" s="620"/>
      <c r="AC38" s="620"/>
      <c r="AD38" s="620"/>
      <c r="AE38" s="620"/>
      <c r="AF38" s="620"/>
      <c r="AG38" s="620"/>
      <c r="AH38" s="620"/>
      <c r="AI38" s="620"/>
      <c r="AJ38" s="620"/>
      <c r="AK38" s="620"/>
      <c r="AL38" s="620"/>
      <c r="AM38" s="620"/>
      <c r="AN38" s="620"/>
      <c r="AO38" s="620"/>
      <c r="AP38" s="620"/>
      <c r="AQ38" s="620"/>
      <c r="AR38" s="620"/>
      <c r="AS38" s="620"/>
      <c r="AT38" s="620"/>
      <c r="AU38" s="620"/>
      <c r="AV38" s="620"/>
      <c r="AW38" s="620"/>
      <c r="AX38" s="620"/>
      <c r="AY38" s="620"/>
      <c r="AZ38" s="620"/>
      <c r="BA38" s="620"/>
      <c r="BB38" s="620"/>
      <c r="BC38" s="620"/>
      <c r="BD38" s="620"/>
      <c r="BE38" s="620"/>
      <c r="BF38" s="620"/>
      <c r="BG38" s="620"/>
      <c r="BH38" s="620"/>
      <c r="BI38" s="620"/>
      <c r="BJ38" s="620"/>
      <c r="BK38" s="620"/>
      <c r="BL38" s="620"/>
      <c r="BM38" s="620"/>
      <c r="BN38" s="620"/>
      <c r="BO38" s="620"/>
      <c r="BP38" s="620"/>
      <c r="BQ38" s="620"/>
    </row>
    <row r="39" spans="1:69" s="612" customFormat="1" ht="47.25">
      <c r="A39" s="606" t="s">
        <v>299</v>
      </c>
      <c r="B39" s="607" t="s">
        <v>556</v>
      </c>
      <c r="C39" s="624" t="s">
        <v>62</v>
      </c>
      <c r="D39" s="624" t="s">
        <v>543</v>
      </c>
      <c r="E39" s="609">
        <f t="shared" si="0"/>
        <v>0</v>
      </c>
      <c r="F39" s="609">
        <v>0</v>
      </c>
      <c r="G39" s="609">
        <v>0</v>
      </c>
      <c r="H39" s="609">
        <v>0</v>
      </c>
      <c r="I39" s="609">
        <f t="shared" si="3"/>
        <v>0.80296000000000001</v>
      </c>
      <c r="J39" s="609">
        <v>0.80296000000000001</v>
      </c>
      <c r="K39" s="626">
        <v>0</v>
      </c>
      <c r="L39" s="609">
        <v>0</v>
      </c>
      <c r="M39" s="611"/>
      <c r="N39" s="611"/>
      <c r="O39" s="611"/>
      <c r="P39" s="611"/>
      <c r="Q39" s="611"/>
      <c r="R39" s="611"/>
      <c r="S39" s="611"/>
      <c r="T39" s="611"/>
      <c r="U39" s="611"/>
      <c r="V39" s="611"/>
      <c r="W39" s="611"/>
      <c r="X39" s="611"/>
      <c r="Y39" s="611"/>
      <c r="Z39" s="611"/>
      <c r="AA39" s="611"/>
      <c r="AB39" s="611"/>
      <c r="AC39" s="611"/>
      <c r="AD39" s="611"/>
      <c r="AE39" s="611"/>
      <c r="AF39" s="611"/>
      <c r="AG39" s="611"/>
      <c r="AH39" s="611"/>
      <c r="AI39" s="611"/>
      <c r="AJ39" s="611"/>
      <c r="AK39" s="611"/>
      <c r="AL39" s="611"/>
      <c r="AM39" s="611"/>
      <c r="AN39" s="611"/>
      <c r="AO39" s="611"/>
      <c r="AP39" s="611"/>
      <c r="AQ39" s="611"/>
      <c r="AR39" s="611"/>
      <c r="AS39" s="611"/>
      <c r="AT39" s="611"/>
      <c r="AU39" s="611"/>
      <c r="AV39" s="611"/>
      <c r="AW39" s="611"/>
      <c r="AX39" s="611"/>
      <c r="AY39" s="611"/>
      <c r="AZ39" s="611"/>
      <c r="BA39" s="611"/>
      <c r="BB39" s="611"/>
      <c r="BC39" s="611"/>
      <c r="BD39" s="611"/>
      <c r="BE39" s="611"/>
      <c r="BF39" s="611"/>
      <c r="BG39" s="611"/>
      <c r="BH39" s="611"/>
      <c r="BI39" s="611"/>
      <c r="BJ39" s="611"/>
      <c r="BK39" s="611"/>
      <c r="BL39" s="611"/>
      <c r="BM39" s="611"/>
      <c r="BN39" s="611"/>
      <c r="BO39" s="611"/>
      <c r="BP39" s="611"/>
      <c r="BQ39" s="611"/>
    </row>
    <row r="40" spans="1:69" s="612" customFormat="1" ht="67.5" customHeight="1">
      <c r="A40" s="638" t="s">
        <v>306</v>
      </c>
      <c r="B40" s="639" t="s">
        <v>557</v>
      </c>
      <c r="C40" s="608" t="s">
        <v>555</v>
      </c>
      <c r="D40" s="624" t="s">
        <v>543</v>
      </c>
      <c r="E40" s="625">
        <f>SUM(F40:H40)</f>
        <v>51</v>
      </c>
      <c r="F40" s="625">
        <f>F41+F42</f>
        <v>0</v>
      </c>
      <c r="G40" s="625">
        <f>G41+G42</f>
        <v>0</v>
      </c>
      <c r="H40" s="625">
        <f>H41+H42</f>
        <v>51</v>
      </c>
      <c r="I40" s="609">
        <f t="shared" si="3"/>
        <v>0</v>
      </c>
      <c r="J40" s="625">
        <f>SUM(J41:J42)</f>
        <v>0</v>
      </c>
      <c r="K40" s="625">
        <v>0</v>
      </c>
      <c r="L40" s="625">
        <v>0</v>
      </c>
      <c r="M40" s="611"/>
      <c r="N40" s="611"/>
      <c r="O40" s="611"/>
      <c r="P40" s="611"/>
      <c r="Q40" s="611"/>
      <c r="R40" s="611"/>
      <c r="S40" s="611"/>
      <c r="T40" s="611"/>
      <c r="U40" s="611"/>
      <c r="V40" s="611"/>
      <c r="W40" s="611"/>
      <c r="X40" s="611"/>
      <c r="Y40" s="611"/>
      <c r="Z40" s="611"/>
      <c r="AA40" s="611"/>
      <c r="AB40" s="611"/>
      <c r="AC40" s="611"/>
      <c r="AD40" s="611"/>
      <c r="AE40" s="611"/>
      <c r="AF40" s="611"/>
      <c r="AG40" s="611"/>
      <c r="AH40" s="611"/>
      <c r="AI40" s="611"/>
      <c r="AJ40" s="611"/>
      <c r="AK40" s="611"/>
      <c r="AL40" s="611"/>
      <c r="AM40" s="611"/>
      <c r="AN40" s="611"/>
      <c r="AO40" s="611"/>
      <c r="AP40" s="611"/>
      <c r="AQ40" s="611"/>
      <c r="AR40" s="611"/>
      <c r="AS40" s="611"/>
      <c r="AT40" s="611"/>
      <c r="AU40" s="611"/>
      <c r="AV40" s="611"/>
      <c r="AW40" s="611"/>
      <c r="AX40" s="611"/>
      <c r="AY40" s="611"/>
      <c r="AZ40" s="611"/>
      <c r="BA40" s="611"/>
      <c r="BB40" s="611"/>
      <c r="BC40" s="611"/>
      <c r="BD40" s="611"/>
      <c r="BE40" s="611"/>
      <c r="BF40" s="611"/>
      <c r="BG40" s="611"/>
      <c r="BH40" s="611"/>
      <c r="BI40" s="611"/>
      <c r="BJ40" s="611"/>
      <c r="BK40" s="611"/>
      <c r="BL40" s="611"/>
      <c r="BM40" s="611"/>
      <c r="BN40" s="611"/>
      <c r="BO40" s="611"/>
      <c r="BP40" s="611"/>
      <c r="BQ40" s="611"/>
    </row>
    <row r="41" spans="1:69" s="622" customFormat="1" ht="18" customHeight="1">
      <c r="A41" s="613"/>
      <c r="B41" s="622" t="s">
        <v>625</v>
      </c>
      <c r="C41" s="615" t="s">
        <v>59</v>
      </c>
      <c r="D41" s="615" t="s">
        <v>543</v>
      </c>
      <c r="E41" s="617">
        <f t="shared" si="0"/>
        <v>0</v>
      </c>
      <c r="F41" s="617">
        <v>0</v>
      </c>
      <c r="G41" s="617"/>
      <c r="H41" s="617">
        <v>0</v>
      </c>
      <c r="I41" s="617">
        <f t="shared" si="3"/>
        <v>0</v>
      </c>
      <c r="J41" s="617">
        <v>0</v>
      </c>
      <c r="K41" s="619">
        <v>0</v>
      </c>
      <c r="L41" s="617">
        <v>0</v>
      </c>
      <c r="M41" s="640"/>
      <c r="N41" s="641"/>
      <c r="O41" s="620"/>
      <c r="P41" s="620"/>
      <c r="Q41" s="620"/>
      <c r="R41" s="620"/>
      <c r="S41" s="620"/>
      <c r="T41" s="620"/>
      <c r="U41" s="620"/>
      <c r="V41" s="620"/>
      <c r="W41" s="620"/>
      <c r="X41" s="620"/>
      <c r="Y41" s="620"/>
      <c r="Z41" s="620"/>
      <c r="AA41" s="620"/>
      <c r="AB41" s="620"/>
      <c r="AC41" s="620"/>
      <c r="AD41" s="620"/>
      <c r="AE41" s="620"/>
      <c r="AF41" s="620"/>
      <c r="AG41" s="620"/>
      <c r="AH41" s="620"/>
      <c r="AI41" s="620"/>
      <c r="AJ41" s="620"/>
      <c r="AK41" s="620"/>
      <c r="AL41" s="620"/>
      <c r="AM41" s="620"/>
      <c r="AN41" s="620"/>
      <c r="AO41" s="620"/>
      <c r="AP41" s="620"/>
      <c r="AQ41" s="620"/>
      <c r="AR41" s="620"/>
      <c r="AS41" s="620"/>
      <c r="AT41" s="620"/>
      <c r="AU41" s="620"/>
      <c r="AV41" s="620"/>
      <c r="AW41" s="620"/>
      <c r="AX41" s="620"/>
      <c r="AY41" s="620"/>
      <c r="AZ41" s="620"/>
      <c r="BA41" s="620"/>
      <c r="BB41" s="620"/>
      <c r="BC41" s="620"/>
      <c r="BD41" s="620"/>
      <c r="BE41" s="620"/>
      <c r="BF41" s="620"/>
      <c r="BG41" s="620"/>
      <c r="BH41" s="620"/>
      <c r="BI41" s="620"/>
      <c r="BJ41" s="620"/>
      <c r="BK41" s="620"/>
      <c r="BL41" s="620"/>
      <c r="BM41" s="620"/>
      <c r="BN41" s="620"/>
      <c r="BO41" s="620"/>
      <c r="BP41" s="620"/>
      <c r="BQ41" s="620"/>
    </row>
    <row r="42" spans="1:69" s="622" customFormat="1" ht="27.75" customHeight="1">
      <c r="A42" s="613"/>
      <c r="B42" s="622" t="s">
        <v>626</v>
      </c>
      <c r="C42" s="615" t="s">
        <v>558</v>
      </c>
      <c r="D42" s="615" t="s">
        <v>543</v>
      </c>
      <c r="E42" s="617">
        <f t="shared" si="0"/>
        <v>51</v>
      </c>
      <c r="F42" s="617">
        <v>0</v>
      </c>
      <c r="G42" s="617">
        <v>0</v>
      </c>
      <c r="H42" s="617">
        <v>51</v>
      </c>
      <c r="I42" s="617">
        <f t="shared" si="3"/>
        <v>0</v>
      </c>
      <c r="J42" s="617">
        <v>0</v>
      </c>
      <c r="K42" s="619">
        <v>0</v>
      </c>
      <c r="L42" s="617">
        <v>0</v>
      </c>
      <c r="M42" s="620"/>
      <c r="N42" s="641"/>
      <c r="O42" s="620"/>
      <c r="P42" s="620"/>
      <c r="Q42" s="620"/>
      <c r="R42" s="620"/>
      <c r="S42" s="620"/>
      <c r="T42" s="620"/>
      <c r="U42" s="620"/>
      <c r="V42" s="620"/>
      <c r="W42" s="620"/>
      <c r="X42" s="620"/>
      <c r="Y42" s="620"/>
      <c r="Z42" s="620"/>
      <c r="AA42" s="620"/>
      <c r="AB42" s="620"/>
      <c r="AC42" s="620"/>
      <c r="AD42" s="620"/>
      <c r="AE42" s="620"/>
      <c r="AF42" s="620"/>
      <c r="AG42" s="620"/>
      <c r="AH42" s="620"/>
      <c r="AI42" s="620"/>
      <c r="AJ42" s="620"/>
      <c r="AK42" s="620"/>
      <c r="AL42" s="620"/>
      <c r="AM42" s="620"/>
      <c r="AN42" s="620"/>
      <c r="AO42" s="620"/>
      <c r="AP42" s="620"/>
      <c r="AQ42" s="620"/>
      <c r="AR42" s="620"/>
      <c r="AS42" s="620"/>
      <c r="AT42" s="620"/>
      <c r="AU42" s="620"/>
      <c r="AV42" s="620"/>
      <c r="AW42" s="620"/>
      <c r="AX42" s="620"/>
      <c r="AY42" s="620"/>
      <c r="AZ42" s="620"/>
      <c r="BA42" s="620"/>
      <c r="BB42" s="620"/>
      <c r="BC42" s="620"/>
      <c r="BD42" s="620"/>
      <c r="BE42" s="620"/>
      <c r="BF42" s="620"/>
      <c r="BG42" s="620"/>
      <c r="BH42" s="620"/>
      <c r="BI42" s="620"/>
      <c r="BJ42" s="620"/>
      <c r="BK42" s="620"/>
      <c r="BL42" s="620"/>
      <c r="BM42" s="620"/>
      <c r="BN42" s="620"/>
      <c r="BO42" s="620"/>
      <c r="BP42" s="620"/>
      <c r="BQ42" s="620"/>
    </row>
    <row r="43" spans="1:69" s="605" customFormat="1" ht="47.25">
      <c r="A43" s="642" t="s">
        <v>559</v>
      </c>
      <c r="B43" s="643" t="s">
        <v>561</v>
      </c>
      <c r="C43" s="644"/>
      <c r="D43" s="644"/>
      <c r="E43" s="601">
        <f t="shared" si="0"/>
        <v>22323.351310000002</v>
      </c>
      <c r="F43" s="601">
        <f>F44+F50+F51+F57+F63</f>
        <v>830.95</v>
      </c>
      <c r="G43" s="601">
        <f>G44+G50+G51+G57+G63</f>
        <v>8354.9013100000011</v>
      </c>
      <c r="H43" s="601">
        <f>H44+H50+H51+H57+H63</f>
        <v>13137.5</v>
      </c>
      <c r="I43" s="645">
        <f t="shared" si="3"/>
        <v>2610.63805</v>
      </c>
      <c r="J43" s="645">
        <f>J44+J50+J51+J57+J63</f>
        <v>374.51979</v>
      </c>
      <c r="K43" s="645">
        <f>K44+K50+K51+K57+K63</f>
        <v>127.613</v>
      </c>
      <c r="L43" s="645">
        <f>L44+L50+L51+L57+L63</f>
        <v>2108.5052599999999</v>
      </c>
      <c r="M43" s="603"/>
      <c r="N43" s="604"/>
      <c r="O43" s="603"/>
      <c r="P43" s="603"/>
      <c r="Q43" s="603"/>
      <c r="R43" s="603"/>
      <c r="S43" s="603"/>
      <c r="T43" s="603"/>
      <c r="U43" s="603"/>
      <c r="V43" s="603"/>
      <c r="W43" s="603"/>
      <c r="X43" s="603"/>
      <c r="Y43" s="603"/>
      <c r="Z43" s="603"/>
      <c r="AA43" s="603"/>
      <c r="AB43" s="603"/>
      <c r="AC43" s="603"/>
      <c r="AD43" s="603"/>
      <c r="AE43" s="603"/>
      <c r="AF43" s="603"/>
      <c r="AG43" s="603"/>
      <c r="AH43" s="603"/>
      <c r="AI43" s="603"/>
      <c r="AJ43" s="603"/>
      <c r="AK43" s="603"/>
      <c r="AL43" s="603"/>
      <c r="AM43" s="603"/>
      <c r="AN43" s="603"/>
      <c r="AO43" s="603"/>
      <c r="AP43" s="603"/>
      <c r="AQ43" s="603"/>
      <c r="AR43" s="603"/>
      <c r="AS43" s="603"/>
      <c r="AT43" s="603"/>
      <c r="AU43" s="603"/>
      <c r="AV43" s="603"/>
      <c r="AW43" s="603"/>
      <c r="AX43" s="603"/>
      <c r="AY43" s="603"/>
      <c r="AZ43" s="603"/>
      <c r="BA43" s="603"/>
      <c r="BB43" s="603"/>
      <c r="BC43" s="603"/>
      <c r="BD43" s="603"/>
      <c r="BE43" s="603"/>
      <c r="BF43" s="603"/>
      <c r="BG43" s="603"/>
      <c r="BH43" s="603"/>
      <c r="BI43" s="603"/>
      <c r="BJ43" s="603"/>
      <c r="BK43" s="603"/>
      <c r="BL43" s="603"/>
      <c r="BM43" s="603"/>
      <c r="BN43" s="603"/>
      <c r="BO43" s="603"/>
      <c r="BP43" s="603"/>
      <c r="BQ43" s="603"/>
    </row>
    <row r="44" spans="1:69" s="612" customFormat="1" ht="122.25" customHeight="1">
      <c r="A44" s="606" t="s">
        <v>562</v>
      </c>
      <c r="B44" s="607" t="s">
        <v>455</v>
      </c>
      <c r="C44" s="608" t="s">
        <v>59</v>
      </c>
      <c r="D44" s="608" t="s">
        <v>543</v>
      </c>
      <c r="E44" s="609">
        <f t="shared" si="0"/>
        <v>14609.7448</v>
      </c>
      <c r="F44" s="609">
        <f>SUM(F45:F49)</f>
        <v>830.95</v>
      </c>
      <c r="G44" s="609">
        <f>SUM(G45:G49)</f>
        <v>878.79480000000001</v>
      </c>
      <c r="H44" s="609">
        <f>SUM(H45:H49)</f>
        <v>12900</v>
      </c>
      <c r="I44" s="609">
        <f t="shared" si="3"/>
        <v>1714.7230199999999</v>
      </c>
      <c r="J44" s="609">
        <f>SUM(J45:J49)</f>
        <v>322.15672000000001</v>
      </c>
      <c r="K44" s="609">
        <f>SUM(K45:K49)</f>
        <v>0</v>
      </c>
      <c r="L44" s="609">
        <f>SUM(L45:L49)</f>
        <v>1392.5663</v>
      </c>
      <c r="M44" s="611"/>
      <c r="N44" s="634"/>
      <c r="O44" s="611"/>
      <c r="P44" s="611"/>
      <c r="Q44" s="611"/>
      <c r="R44" s="611"/>
      <c r="S44" s="611"/>
      <c r="T44" s="611"/>
      <c r="U44" s="611"/>
      <c r="V44" s="611"/>
      <c r="W44" s="611"/>
      <c r="X44" s="611"/>
      <c r="Y44" s="611"/>
      <c r="Z44" s="611"/>
      <c r="AA44" s="611"/>
      <c r="AB44" s="611"/>
      <c r="AC44" s="611"/>
      <c r="AD44" s="611"/>
      <c r="AE44" s="611"/>
      <c r="AF44" s="611"/>
      <c r="AG44" s="611"/>
      <c r="AH44" s="611"/>
      <c r="AI44" s="611"/>
      <c r="AJ44" s="611"/>
      <c r="AK44" s="611"/>
      <c r="AL44" s="611"/>
      <c r="AM44" s="611"/>
      <c r="AN44" s="611"/>
      <c r="AO44" s="611"/>
      <c r="AP44" s="611"/>
      <c r="AQ44" s="611"/>
      <c r="AR44" s="611"/>
      <c r="AS44" s="611"/>
      <c r="AT44" s="611"/>
      <c r="AU44" s="611"/>
      <c r="AV44" s="611"/>
      <c r="AW44" s="611"/>
      <c r="AX44" s="611"/>
      <c r="AY44" s="611"/>
      <c r="AZ44" s="611"/>
      <c r="BA44" s="611"/>
      <c r="BB44" s="611"/>
      <c r="BC44" s="611"/>
      <c r="BD44" s="611"/>
      <c r="BE44" s="611"/>
      <c r="BF44" s="611"/>
      <c r="BG44" s="611"/>
      <c r="BH44" s="611"/>
      <c r="BI44" s="611"/>
      <c r="BJ44" s="611"/>
      <c r="BK44" s="611"/>
      <c r="BL44" s="611"/>
      <c r="BM44" s="611"/>
      <c r="BN44" s="611"/>
      <c r="BO44" s="611"/>
      <c r="BP44" s="611"/>
      <c r="BQ44" s="611"/>
    </row>
    <row r="45" spans="1:69" s="621" customFormat="1" ht="40.5" customHeight="1">
      <c r="A45" s="613"/>
      <c r="B45" s="646" t="s">
        <v>627</v>
      </c>
      <c r="C45" s="614" t="s">
        <v>59</v>
      </c>
      <c r="D45" s="615" t="s">
        <v>543</v>
      </c>
      <c r="E45" s="617">
        <f t="shared" si="0"/>
        <v>1709.7447999999999</v>
      </c>
      <c r="F45" s="617">
        <v>830.95</v>
      </c>
      <c r="G45" s="617">
        <v>878.79480000000001</v>
      </c>
      <c r="H45" s="617">
        <v>0</v>
      </c>
      <c r="I45" s="617">
        <f t="shared" si="3"/>
        <v>322.15672000000001</v>
      </c>
      <c r="J45" s="617">
        <v>322.15672000000001</v>
      </c>
      <c r="K45" s="619">
        <v>0</v>
      </c>
      <c r="L45" s="617">
        <v>0</v>
      </c>
      <c r="M45" s="620"/>
      <c r="N45" s="620"/>
      <c r="O45" s="620"/>
      <c r="P45" s="620"/>
      <c r="Q45" s="620"/>
      <c r="R45" s="620"/>
      <c r="S45" s="620"/>
      <c r="T45" s="620"/>
      <c r="U45" s="620"/>
      <c r="V45" s="620"/>
      <c r="W45" s="620"/>
      <c r="X45" s="620"/>
      <c r="Y45" s="620"/>
      <c r="Z45" s="620"/>
      <c r="AA45" s="620"/>
      <c r="AB45" s="620"/>
      <c r="AC45" s="620"/>
      <c r="AD45" s="620"/>
      <c r="AE45" s="620"/>
      <c r="AF45" s="620"/>
      <c r="AG45" s="620"/>
      <c r="AH45" s="620"/>
      <c r="AI45" s="620"/>
      <c r="AJ45" s="620"/>
      <c r="AK45" s="620"/>
      <c r="AL45" s="620"/>
      <c r="AM45" s="620"/>
      <c r="AN45" s="620"/>
      <c r="AO45" s="620"/>
      <c r="AP45" s="620"/>
      <c r="AQ45" s="620"/>
      <c r="AR45" s="620"/>
      <c r="AS45" s="620"/>
      <c r="AT45" s="620"/>
      <c r="AU45" s="620"/>
      <c r="AV45" s="620"/>
      <c r="AW45" s="620"/>
      <c r="AX45" s="620"/>
      <c r="AY45" s="620"/>
      <c r="AZ45" s="620"/>
      <c r="BA45" s="620"/>
      <c r="BB45" s="620"/>
      <c r="BC45" s="620"/>
      <c r="BD45" s="620"/>
      <c r="BE45" s="620"/>
      <c r="BF45" s="620"/>
      <c r="BG45" s="620"/>
      <c r="BH45" s="620"/>
      <c r="BI45" s="620"/>
      <c r="BJ45" s="620"/>
      <c r="BK45" s="620"/>
      <c r="BL45" s="620"/>
      <c r="BM45" s="620"/>
      <c r="BN45" s="620"/>
      <c r="BO45" s="620"/>
      <c r="BP45" s="620"/>
      <c r="BQ45" s="620"/>
    </row>
    <row r="46" spans="1:69" s="594" customFormat="1" ht="42.75" customHeight="1">
      <c r="A46" s="545"/>
      <c r="B46" s="646" t="s">
        <v>628</v>
      </c>
      <c r="C46" s="614" t="s">
        <v>59</v>
      </c>
      <c r="D46" s="615" t="s">
        <v>543</v>
      </c>
      <c r="E46" s="617">
        <f t="shared" si="0"/>
        <v>0</v>
      </c>
      <c r="F46" s="617">
        <v>0</v>
      </c>
      <c r="G46" s="617">
        <v>0</v>
      </c>
      <c r="H46" s="617">
        <v>0</v>
      </c>
      <c r="I46" s="617">
        <f t="shared" si="3"/>
        <v>0</v>
      </c>
      <c r="J46" s="617">
        <v>0</v>
      </c>
      <c r="K46" s="619">
        <v>0</v>
      </c>
      <c r="L46" s="617">
        <v>0</v>
      </c>
      <c r="M46" s="593"/>
      <c r="N46" s="593"/>
      <c r="O46" s="593"/>
      <c r="P46" s="593"/>
      <c r="Q46" s="593"/>
      <c r="R46" s="593"/>
      <c r="S46" s="593"/>
      <c r="T46" s="593"/>
      <c r="U46" s="593"/>
      <c r="V46" s="593"/>
      <c r="W46" s="593"/>
      <c r="X46" s="593"/>
      <c r="Y46" s="593"/>
      <c r="Z46" s="593"/>
      <c r="AA46" s="593"/>
      <c r="AB46" s="593"/>
      <c r="AC46" s="593"/>
      <c r="AD46" s="593"/>
      <c r="AE46" s="593"/>
      <c r="AF46" s="593"/>
      <c r="AG46" s="593"/>
      <c r="AH46" s="593"/>
      <c r="AI46" s="593"/>
      <c r="AJ46" s="593"/>
      <c r="AK46" s="593"/>
      <c r="AL46" s="593"/>
      <c r="AM46" s="593"/>
      <c r="AN46" s="593"/>
      <c r="AO46" s="593"/>
      <c r="AP46" s="593"/>
      <c r="AQ46" s="593"/>
      <c r="AR46" s="593"/>
      <c r="AS46" s="593"/>
      <c r="AT46" s="593"/>
      <c r="AU46" s="593"/>
      <c r="AV46" s="593"/>
      <c r="AW46" s="593"/>
      <c r="AX46" s="593"/>
      <c r="AY46" s="593"/>
      <c r="AZ46" s="593"/>
      <c r="BA46" s="593"/>
      <c r="BB46" s="593"/>
      <c r="BC46" s="593"/>
      <c r="BD46" s="593"/>
      <c r="BE46" s="593"/>
      <c r="BF46" s="593"/>
      <c r="BG46" s="593"/>
      <c r="BH46" s="593"/>
      <c r="BI46" s="593"/>
      <c r="BJ46" s="593"/>
      <c r="BK46" s="593"/>
      <c r="BL46" s="593"/>
      <c r="BM46" s="593"/>
      <c r="BN46" s="593"/>
      <c r="BO46" s="593"/>
      <c r="BP46" s="593"/>
      <c r="BQ46" s="593"/>
    </row>
    <row r="47" spans="1:69" s="594" customFormat="1" ht="29.25" customHeight="1">
      <c r="A47" s="584"/>
      <c r="B47" s="646" t="s">
        <v>629</v>
      </c>
      <c r="C47" s="614" t="s">
        <v>59</v>
      </c>
      <c r="D47" s="615" t="s">
        <v>543</v>
      </c>
      <c r="E47" s="617">
        <f t="shared" si="0"/>
        <v>0</v>
      </c>
      <c r="F47" s="617">
        <v>0</v>
      </c>
      <c r="G47" s="617">
        <v>0</v>
      </c>
      <c r="H47" s="617">
        <v>0</v>
      </c>
      <c r="I47" s="617">
        <f t="shared" si="3"/>
        <v>0</v>
      </c>
      <c r="J47" s="617">
        <v>0</v>
      </c>
      <c r="K47" s="619">
        <v>0</v>
      </c>
      <c r="L47" s="617">
        <v>0</v>
      </c>
      <c r="M47" s="593"/>
      <c r="N47" s="593"/>
      <c r="O47" s="593"/>
      <c r="P47" s="593"/>
      <c r="Q47" s="593"/>
      <c r="R47" s="593"/>
      <c r="S47" s="593"/>
      <c r="T47" s="593"/>
      <c r="U47" s="593"/>
      <c r="V47" s="593"/>
      <c r="W47" s="593"/>
      <c r="X47" s="593"/>
      <c r="Y47" s="593"/>
      <c r="Z47" s="593"/>
      <c r="AA47" s="593"/>
      <c r="AB47" s="593"/>
      <c r="AC47" s="593"/>
      <c r="AD47" s="593"/>
      <c r="AE47" s="593"/>
      <c r="AF47" s="593"/>
      <c r="AG47" s="593"/>
      <c r="AH47" s="593"/>
      <c r="AI47" s="593"/>
      <c r="AJ47" s="593"/>
      <c r="AK47" s="593"/>
      <c r="AL47" s="593"/>
      <c r="AM47" s="593"/>
      <c r="AN47" s="593"/>
      <c r="AO47" s="593"/>
      <c r="AP47" s="593"/>
      <c r="AQ47" s="593"/>
      <c r="AR47" s="593"/>
      <c r="AS47" s="593"/>
      <c r="AT47" s="593"/>
      <c r="AU47" s="593"/>
      <c r="AV47" s="593"/>
      <c r="AW47" s="593"/>
      <c r="AX47" s="593"/>
      <c r="AY47" s="593"/>
      <c r="AZ47" s="593"/>
      <c r="BA47" s="593"/>
      <c r="BB47" s="593"/>
      <c r="BC47" s="593"/>
      <c r="BD47" s="593"/>
      <c r="BE47" s="593"/>
      <c r="BF47" s="593"/>
      <c r="BG47" s="593"/>
      <c r="BH47" s="593"/>
      <c r="BI47" s="593"/>
      <c r="BJ47" s="593"/>
      <c r="BK47" s="593"/>
      <c r="BL47" s="593"/>
      <c r="BM47" s="593"/>
      <c r="BN47" s="593"/>
      <c r="BO47" s="593"/>
      <c r="BP47" s="593"/>
      <c r="BQ47" s="593"/>
    </row>
    <row r="48" spans="1:69" s="594" customFormat="1" ht="80.25" customHeight="1">
      <c r="A48" s="584"/>
      <c r="B48" s="646" t="s">
        <v>630</v>
      </c>
      <c r="C48" s="647" t="s">
        <v>560</v>
      </c>
      <c r="D48" s="615" t="s">
        <v>543</v>
      </c>
      <c r="E48" s="617">
        <f t="shared" si="0"/>
        <v>12900</v>
      </c>
      <c r="F48" s="617">
        <v>0</v>
      </c>
      <c r="G48" s="617">
        <v>0</v>
      </c>
      <c r="H48" s="617">
        <v>12900</v>
      </c>
      <c r="I48" s="617">
        <f t="shared" si="3"/>
        <v>1392.5663</v>
      </c>
      <c r="J48" s="617">
        <v>0</v>
      </c>
      <c r="K48" s="619">
        <v>0</v>
      </c>
      <c r="L48" s="617">
        <f>816.4+576.1663</f>
        <v>1392.5663</v>
      </c>
      <c r="M48" s="593"/>
      <c r="N48" s="593"/>
      <c r="O48" s="593"/>
      <c r="P48" s="593"/>
      <c r="Q48" s="593"/>
      <c r="R48" s="593"/>
      <c r="S48" s="593"/>
      <c r="T48" s="593"/>
      <c r="U48" s="593"/>
      <c r="V48" s="593"/>
      <c r="W48" s="593"/>
      <c r="X48" s="593"/>
      <c r="Y48" s="593"/>
      <c r="Z48" s="593"/>
      <c r="AA48" s="593"/>
      <c r="AB48" s="593"/>
      <c r="AC48" s="593"/>
      <c r="AD48" s="593"/>
      <c r="AE48" s="593"/>
      <c r="AF48" s="593"/>
      <c r="AG48" s="593"/>
      <c r="AH48" s="593"/>
      <c r="AI48" s="593"/>
      <c r="AJ48" s="593"/>
      <c r="AK48" s="593"/>
      <c r="AL48" s="593"/>
      <c r="AM48" s="593"/>
      <c r="AN48" s="593"/>
      <c r="AO48" s="593"/>
      <c r="AP48" s="593"/>
      <c r="AQ48" s="593"/>
      <c r="AR48" s="593"/>
      <c r="AS48" s="593"/>
      <c r="AT48" s="593"/>
      <c r="AU48" s="593"/>
      <c r="AV48" s="593"/>
      <c r="AW48" s="593"/>
      <c r="AX48" s="593"/>
      <c r="AY48" s="593"/>
      <c r="AZ48" s="593"/>
      <c r="BA48" s="593"/>
      <c r="BB48" s="593"/>
      <c r="BC48" s="593"/>
      <c r="BD48" s="593"/>
      <c r="BE48" s="593"/>
      <c r="BF48" s="593"/>
      <c r="BG48" s="593"/>
      <c r="BH48" s="593"/>
      <c r="BI48" s="593"/>
      <c r="BJ48" s="593"/>
      <c r="BK48" s="593"/>
      <c r="BL48" s="593"/>
      <c r="BM48" s="593"/>
      <c r="BN48" s="593"/>
      <c r="BO48" s="593"/>
      <c r="BP48" s="593"/>
      <c r="BQ48" s="593"/>
    </row>
    <row r="49" spans="1:69" s="594" customFormat="1" ht="42.75" customHeight="1">
      <c r="A49" s="584"/>
      <c r="B49" s="646" t="s">
        <v>631</v>
      </c>
      <c r="C49" s="647" t="s">
        <v>62</v>
      </c>
      <c r="D49" s="615" t="s">
        <v>543</v>
      </c>
      <c r="E49" s="617">
        <f t="shared" si="0"/>
        <v>0</v>
      </c>
      <c r="F49" s="617">
        <v>0</v>
      </c>
      <c r="G49" s="617">
        <v>0</v>
      </c>
      <c r="H49" s="617">
        <v>0</v>
      </c>
      <c r="I49" s="617">
        <f t="shared" si="3"/>
        <v>0</v>
      </c>
      <c r="J49" s="617">
        <v>0</v>
      </c>
      <c r="K49" s="619">
        <v>0</v>
      </c>
      <c r="L49" s="617">
        <v>0</v>
      </c>
      <c r="M49" s="593"/>
      <c r="N49" s="593"/>
      <c r="O49" s="593"/>
      <c r="P49" s="593"/>
      <c r="Q49" s="593"/>
      <c r="R49" s="593"/>
      <c r="S49" s="593"/>
      <c r="T49" s="593"/>
      <c r="U49" s="593"/>
      <c r="V49" s="593"/>
      <c r="W49" s="593"/>
      <c r="X49" s="593"/>
      <c r="Y49" s="593"/>
      <c r="Z49" s="593"/>
      <c r="AA49" s="593"/>
      <c r="AB49" s="593"/>
      <c r="AC49" s="593"/>
      <c r="AD49" s="593"/>
      <c r="AE49" s="593"/>
      <c r="AF49" s="593"/>
      <c r="AG49" s="593"/>
      <c r="AH49" s="593"/>
      <c r="AI49" s="593"/>
      <c r="AJ49" s="593"/>
      <c r="AK49" s="593"/>
      <c r="AL49" s="593"/>
      <c r="AM49" s="593"/>
      <c r="AN49" s="593"/>
      <c r="AO49" s="593"/>
      <c r="AP49" s="593"/>
      <c r="AQ49" s="593"/>
      <c r="AR49" s="593"/>
      <c r="AS49" s="593"/>
      <c r="AT49" s="593"/>
      <c r="AU49" s="593"/>
      <c r="AV49" s="593"/>
      <c r="AW49" s="593"/>
      <c r="AX49" s="593"/>
      <c r="AY49" s="593"/>
      <c r="AZ49" s="593"/>
      <c r="BA49" s="593"/>
      <c r="BB49" s="593"/>
      <c r="BC49" s="593"/>
      <c r="BD49" s="593"/>
      <c r="BE49" s="593"/>
      <c r="BF49" s="593"/>
      <c r="BG49" s="593"/>
      <c r="BH49" s="593"/>
      <c r="BI49" s="593"/>
      <c r="BJ49" s="593"/>
      <c r="BK49" s="593"/>
      <c r="BL49" s="593"/>
      <c r="BM49" s="593"/>
      <c r="BN49" s="593"/>
      <c r="BO49" s="593"/>
      <c r="BP49" s="593"/>
      <c r="BQ49" s="593"/>
    </row>
    <row r="50" spans="1:69" s="612" customFormat="1" ht="54.75" customHeight="1">
      <c r="A50" s="606" t="s">
        <v>329</v>
      </c>
      <c r="B50" s="635" t="s">
        <v>478</v>
      </c>
      <c r="C50" s="608" t="s">
        <v>62</v>
      </c>
      <c r="D50" s="624" t="s">
        <v>543</v>
      </c>
      <c r="E50" s="609">
        <f t="shared" si="0"/>
        <v>1046.93</v>
      </c>
      <c r="F50" s="609">
        <v>0</v>
      </c>
      <c r="G50" s="648">
        <v>1046.93</v>
      </c>
      <c r="H50" s="609">
        <v>0</v>
      </c>
      <c r="I50" s="609">
        <f t="shared" si="3"/>
        <v>217.70162999999999</v>
      </c>
      <c r="J50" s="609">
        <v>0</v>
      </c>
      <c r="K50" s="626">
        <v>0</v>
      </c>
      <c r="L50" s="609">
        <f>217.70163</f>
        <v>217.70162999999999</v>
      </c>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611"/>
      <c r="BG50" s="611"/>
      <c r="BH50" s="611"/>
      <c r="BI50" s="611"/>
      <c r="BJ50" s="611"/>
      <c r="BK50" s="611"/>
      <c r="BL50" s="611"/>
      <c r="BM50" s="611"/>
      <c r="BN50" s="611"/>
      <c r="BO50" s="611"/>
      <c r="BP50" s="611"/>
      <c r="BQ50" s="611"/>
    </row>
    <row r="51" spans="1:69" s="612" customFormat="1" ht="98.25" customHeight="1">
      <c r="A51" s="606" t="s">
        <v>333</v>
      </c>
      <c r="B51" s="607" t="s">
        <v>563</v>
      </c>
      <c r="C51" s="608" t="s">
        <v>62</v>
      </c>
      <c r="D51" s="624" t="s">
        <v>543</v>
      </c>
      <c r="E51" s="609">
        <f t="shared" ref="E51:E57" si="4">SUM(F51:H51)</f>
        <v>1980.00251</v>
      </c>
      <c r="F51" s="609">
        <f>SUM(F52:F56)</f>
        <v>0</v>
      </c>
      <c r="G51" s="609">
        <f>G52+G53+G54+G55+G56</f>
        <v>1980.00251</v>
      </c>
      <c r="H51" s="609">
        <f>SUM(H52:H56)</f>
        <v>0</v>
      </c>
      <c r="I51" s="609">
        <f t="shared" si="3"/>
        <v>483.81493</v>
      </c>
      <c r="J51" s="609">
        <f>SUM(J52:J56)</f>
        <v>52.36307</v>
      </c>
      <c r="K51" s="609">
        <f>SUM(K52:K56)</f>
        <v>127.613</v>
      </c>
      <c r="L51" s="609">
        <f>SUM(L52:L56)</f>
        <v>303.83886000000001</v>
      </c>
      <c r="M51" s="649"/>
      <c r="N51" s="611"/>
      <c r="O51" s="611"/>
      <c r="P51" s="611"/>
      <c r="Q51" s="611"/>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611"/>
      <c r="BG51" s="611"/>
      <c r="BH51" s="611"/>
      <c r="BI51" s="611"/>
      <c r="BJ51" s="611"/>
      <c r="BK51" s="611"/>
      <c r="BL51" s="611"/>
      <c r="BM51" s="611"/>
      <c r="BN51" s="611"/>
      <c r="BO51" s="611"/>
      <c r="BP51" s="611"/>
      <c r="BQ51" s="611"/>
    </row>
    <row r="52" spans="1:69" s="594" customFormat="1">
      <c r="A52" s="584"/>
      <c r="B52" s="650" t="s">
        <v>632</v>
      </c>
      <c r="C52" s="647" t="s">
        <v>62</v>
      </c>
      <c r="D52" s="615" t="s">
        <v>543</v>
      </c>
      <c r="E52" s="617">
        <f t="shared" si="4"/>
        <v>44.554000000000002</v>
      </c>
      <c r="F52" s="617">
        <v>0</v>
      </c>
      <c r="G52" s="618">
        <v>44.554000000000002</v>
      </c>
      <c r="H52" s="617">
        <v>0</v>
      </c>
      <c r="I52" s="617">
        <f t="shared" si="3"/>
        <v>178.76979</v>
      </c>
      <c r="J52" s="617">
        <v>52.36307</v>
      </c>
      <c r="K52" s="619">
        <v>26.265000000000001</v>
      </c>
      <c r="L52" s="617">
        <v>100.14172000000001</v>
      </c>
      <c r="M52" s="651"/>
      <c r="N52" s="593"/>
      <c r="O52" s="593"/>
      <c r="P52" s="593"/>
      <c r="Q52" s="593"/>
      <c r="R52" s="593"/>
      <c r="S52" s="593"/>
      <c r="T52" s="593"/>
      <c r="U52" s="593"/>
      <c r="V52" s="593"/>
      <c r="W52" s="593"/>
      <c r="X52" s="593"/>
      <c r="Y52" s="593"/>
      <c r="Z52" s="593"/>
      <c r="AA52" s="593"/>
      <c r="AB52" s="593"/>
      <c r="AC52" s="593"/>
      <c r="AD52" s="593"/>
      <c r="AE52" s="593"/>
      <c r="AF52" s="593"/>
      <c r="AG52" s="593"/>
      <c r="AH52" s="593"/>
      <c r="AI52" s="593"/>
      <c r="AJ52" s="593"/>
      <c r="AK52" s="593"/>
      <c r="AL52" s="593"/>
      <c r="AM52" s="593"/>
      <c r="AN52" s="593"/>
      <c r="AO52" s="593"/>
      <c r="AP52" s="593"/>
      <c r="AQ52" s="593"/>
      <c r="AR52" s="593"/>
      <c r="AS52" s="593"/>
      <c r="AT52" s="593"/>
      <c r="AU52" s="593"/>
      <c r="AV52" s="593"/>
      <c r="AW52" s="593"/>
      <c r="AX52" s="593"/>
      <c r="AY52" s="593"/>
      <c r="AZ52" s="593"/>
      <c r="BA52" s="593"/>
      <c r="BB52" s="593"/>
      <c r="BC52" s="593"/>
      <c r="BD52" s="593"/>
      <c r="BE52" s="593"/>
      <c r="BF52" s="593"/>
      <c r="BG52" s="593"/>
      <c r="BH52" s="593"/>
      <c r="BI52" s="593"/>
      <c r="BJ52" s="593"/>
      <c r="BK52" s="593"/>
      <c r="BL52" s="593"/>
      <c r="BM52" s="593"/>
      <c r="BN52" s="593"/>
      <c r="BO52" s="593"/>
      <c r="BP52" s="593"/>
      <c r="BQ52" s="593"/>
    </row>
    <row r="53" spans="1:69" s="594" customFormat="1">
      <c r="A53" s="584"/>
      <c r="B53" s="650" t="s">
        <v>633</v>
      </c>
      <c r="C53" s="647" t="s">
        <v>62</v>
      </c>
      <c r="D53" s="615" t="s">
        <v>543</v>
      </c>
      <c r="E53" s="617">
        <f t="shared" si="4"/>
        <v>22.925000000000001</v>
      </c>
      <c r="F53" s="617">
        <v>0</v>
      </c>
      <c r="G53" s="618">
        <v>22.925000000000001</v>
      </c>
      <c r="H53" s="617">
        <v>0</v>
      </c>
      <c r="I53" s="617">
        <f t="shared" si="3"/>
        <v>62.026719999999997</v>
      </c>
      <c r="J53" s="617">
        <v>0</v>
      </c>
      <c r="K53" s="619">
        <v>13.132</v>
      </c>
      <c r="L53" s="617">
        <v>48.89472</v>
      </c>
      <c r="M53" s="651"/>
      <c r="N53" s="593"/>
      <c r="O53" s="593"/>
      <c r="P53" s="593"/>
      <c r="Q53" s="593"/>
      <c r="R53" s="593"/>
      <c r="S53" s="593"/>
      <c r="T53" s="593"/>
      <c r="U53" s="593"/>
      <c r="V53" s="593"/>
      <c r="W53" s="593"/>
      <c r="X53" s="593"/>
      <c r="Y53" s="593"/>
      <c r="Z53" s="593"/>
      <c r="AA53" s="593"/>
      <c r="AB53" s="593"/>
      <c r="AC53" s="593"/>
      <c r="AD53" s="593"/>
      <c r="AE53" s="593"/>
      <c r="AF53" s="593"/>
      <c r="AG53" s="593"/>
      <c r="AH53" s="593"/>
      <c r="AI53" s="593"/>
      <c r="AJ53" s="593"/>
      <c r="AK53" s="593"/>
      <c r="AL53" s="593"/>
      <c r="AM53" s="593"/>
      <c r="AN53" s="593"/>
      <c r="AO53" s="593"/>
      <c r="AP53" s="593"/>
      <c r="AQ53" s="593"/>
      <c r="AR53" s="593"/>
      <c r="AS53" s="593"/>
      <c r="AT53" s="593"/>
      <c r="AU53" s="593"/>
      <c r="AV53" s="593"/>
      <c r="AW53" s="593"/>
      <c r="AX53" s="593"/>
      <c r="AY53" s="593"/>
      <c r="AZ53" s="593"/>
      <c r="BA53" s="593"/>
      <c r="BB53" s="593"/>
      <c r="BC53" s="593"/>
      <c r="BD53" s="593"/>
      <c r="BE53" s="593"/>
      <c r="BF53" s="593"/>
      <c r="BG53" s="593"/>
      <c r="BH53" s="593"/>
      <c r="BI53" s="593"/>
      <c r="BJ53" s="593"/>
      <c r="BK53" s="593"/>
      <c r="BL53" s="593"/>
      <c r="BM53" s="593"/>
      <c r="BN53" s="593"/>
      <c r="BO53" s="593"/>
      <c r="BP53" s="593"/>
      <c r="BQ53" s="593"/>
    </row>
    <row r="54" spans="1:69" s="594" customFormat="1">
      <c r="A54" s="584"/>
      <c r="B54" s="650" t="s">
        <v>634</v>
      </c>
      <c r="C54" s="647" t="s">
        <v>62</v>
      </c>
      <c r="D54" s="615" t="s">
        <v>543</v>
      </c>
      <c r="E54" s="617">
        <f t="shared" si="4"/>
        <v>380.48101000000003</v>
      </c>
      <c r="F54" s="617">
        <v>0</v>
      </c>
      <c r="G54" s="652">
        <v>380.48101000000003</v>
      </c>
      <c r="H54" s="617">
        <v>0</v>
      </c>
      <c r="I54" s="617">
        <f t="shared" si="3"/>
        <v>0</v>
      </c>
      <c r="J54" s="617">
        <v>0</v>
      </c>
      <c r="K54" s="619">
        <v>0</v>
      </c>
      <c r="L54" s="617">
        <v>0</v>
      </c>
      <c r="M54" s="651"/>
      <c r="N54" s="593"/>
      <c r="O54" s="593"/>
      <c r="P54" s="593"/>
      <c r="Q54" s="593"/>
      <c r="R54" s="593"/>
      <c r="S54" s="593"/>
      <c r="T54" s="593"/>
      <c r="U54" s="593"/>
      <c r="V54" s="593"/>
      <c r="W54" s="593"/>
      <c r="X54" s="593"/>
      <c r="Y54" s="593"/>
      <c r="Z54" s="593"/>
      <c r="AA54" s="593"/>
      <c r="AB54" s="593"/>
      <c r="AC54" s="593"/>
      <c r="AD54" s="593"/>
      <c r="AE54" s="593"/>
      <c r="AF54" s="593"/>
      <c r="AG54" s="593"/>
      <c r="AH54" s="593"/>
      <c r="AI54" s="593"/>
      <c r="AJ54" s="593"/>
      <c r="AK54" s="593"/>
      <c r="AL54" s="593"/>
      <c r="AM54" s="593"/>
      <c r="AN54" s="593"/>
      <c r="AO54" s="593"/>
      <c r="AP54" s="593"/>
      <c r="AQ54" s="593"/>
      <c r="AR54" s="593"/>
      <c r="AS54" s="593"/>
      <c r="AT54" s="593"/>
      <c r="AU54" s="593"/>
      <c r="AV54" s="593"/>
      <c r="AW54" s="593"/>
      <c r="AX54" s="593"/>
      <c r="AY54" s="593"/>
      <c r="AZ54" s="593"/>
      <c r="BA54" s="593"/>
      <c r="BB54" s="593"/>
      <c r="BC54" s="593"/>
      <c r="BD54" s="593"/>
      <c r="BE54" s="593"/>
      <c r="BF54" s="593"/>
      <c r="BG54" s="593"/>
      <c r="BH54" s="593"/>
      <c r="BI54" s="593"/>
      <c r="BJ54" s="593"/>
      <c r="BK54" s="593"/>
      <c r="BL54" s="593"/>
      <c r="BM54" s="593"/>
      <c r="BN54" s="593"/>
      <c r="BO54" s="593"/>
      <c r="BP54" s="593"/>
      <c r="BQ54" s="593"/>
    </row>
    <row r="55" spans="1:69" s="621" customFormat="1" ht="24">
      <c r="A55" s="613"/>
      <c r="B55" s="650" t="s">
        <v>635</v>
      </c>
      <c r="C55" s="647" t="s">
        <v>62</v>
      </c>
      <c r="D55" s="615" t="s">
        <v>543</v>
      </c>
      <c r="E55" s="617">
        <f t="shared" si="4"/>
        <v>1301.6424999999999</v>
      </c>
      <c r="F55" s="617">
        <v>0</v>
      </c>
      <c r="G55" s="652">
        <v>1301.6424999999999</v>
      </c>
      <c r="H55" s="617">
        <v>0</v>
      </c>
      <c r="I55" s="617">
        <f t="shared" si="3"/>
        <v>0</v>
      </c>
      <c r="J55" s="617">
        <v>0</v>
      </c>
      <c r="K55" s="619">
        <v>0</v>
      </c>
      <c r="L55" s="617">
        <v>0</v>
      </c>
      <c r="M55" s="651"/>
      <c r="N55" s="620"/>
      <c r="O55" s="620"/>
      <c r="P55" s="620"/>
      <c r="Q55" s="620"/>
      <c r="R55" s="620"/>
      <c r="S55" s="620"/>
      <c r="T55" s="620"/>
      <c r="U55" s="620"/>
      <c r="V55" s="620"/>
      <c r="W55" s="620"/>
      <c r="X55" s="620"/>
      <c r="Y55" s="620"/>
      <c r="Z55" s="620"/>
      <c r="AA55" s="620"/>
      <c r="AB55" s="620"/>
      <c r="AC55" s="620"/>
      <c r="AD55" s="620"/>
      <c r="AE55" s="620"/>
      <c r="AF55" s="620"/>
      <c r="AG55" s="620"/>
      <c r="AH55" s="620"/>
      <c r="AI55" s="620"/>
      <c r="AJ55" s="620"/>
      <c r="AK55" s="620"/>
      <c r="AL55" s="620"/>
      <c r="AM55" s="620"/>
      <c r="AN55" s="620"/>
      <c r="AO55" s="620"/>
      <c r="AP55" s="620"/>
      <c r="AQ55" s="620"/>
      <c r="AR55" s="620"/>
      <c r="AS55" s="620"/>
      <c r="AT55" s="620"/>
      <c r="AU55" s="620"/>
      <c r="AV55" s="620"/>
      <c r="AW55" s="620"/>
      <c r="AX55" s="620"/>
      <c r="AY55" s="620"/>
      <c r="AZ55" s="620"/>
      <c r="BA55" s="620"/>
      <c r="BB55" s="620"/>
      <c r="BC55" s="620"/>
      <c r="BD55" s="620"/>
      <c r="BE55" s="620"/>
      <c r="BF55" s="620"/>
      <c r="BG55" s="620"/>
      <c r="BH55" s="620"/>
      <c r="BI55" s="620"/>
      <c r="BJ55" s="620"/>
      <c r="BK55" s="620"/>
      <c r="BL55" s="620"/>
      <c r="BM55" s="620"/>
      <c r="BN55" s="620"/>
      <c r="BO55" s="620"/>
      <c r="BP55" s="620"/>
      <c r="BQ55" s="620"/>
    </row>
    <row r="56" spans="1:69" s="621" customFormat="1" ht="24">
      <c r="A56" s="613"/>
      <c r="B56" s="650" t="s">
        <v>636</v>
      </c>
      <c r="C56" s="647" t="s">
        <v>62</v>
      </c>
      <c r="D56" s="615" t="s">
        <v>543</v>
      </c>
      <c r="E56" s="617">
        <f t="shared" si="4"/>
        <v>230.4</v>
      </c>
      <c r="F56" s="617">
        <v>0</v>
      </c>
      <c r="G56" s="652">
        <v>230.4</v>
      </c>
      <c r="H56" s="617">
        <v>0</v>
      </c>
      <c r="I56" s="617">
        <f t="shared" si="3"/>
        <v>243.01841999999999</v>
      </c>
      <c r="J56" s="617">
        <v>0</v>
      </c>
      <c r="K56" s="619">
        <v>88.215999999999994</v>
      </c>
      <c r="L56" s="617">
        <v>154.80242000000001</v>
      </c>
      <c r="M56" s="651"/>
      <c r="N56" s="620"/>
      <c r="O56" s="620"/>
      <c r="P56" s="620"/>
      <c r="Q56" s="620"/>
      <c r="R56" s="620"/>
      <c r="S56" s="620"/>
      <c r="T56" s="620"/>
      <c r="U56" s="620"/>
      <c r="V56" s="620"/>
      <c r="W56" s="620"/>
      <c r="X56" s="620"/>
      <c r="Y56" s="620"/>
      <c r="Z56" s="620"/>
      <c r="AA56" s="620"/>
      <c r="AB56" s="620"/>
      <c r="AC56" s="620"/>
      <c r="AD56" s="620"/>
      <c r="AE56" s="620"/>
      <c r="AF56" s="620"/>
      <c r="AG56" s="620"/>
      <c r="AH56" s="620"/>
      <c r="AI56" s="620"/>
      <c r="AJ56" s="620"/>
      <c r="AK56" s="620"/>
      <c r="AL56" s="620"/>
      <c r="AM56" s="620"/>
      <c r="AN56" s="620"/>
      <c r="AO56" s="620"/>
      <c r="AP56" s="620"/>
      <c r="AQ56" s="620"/>
      <c r="AR56" s="620"/>
      <c r="AS56" s="620"/>
      <c r="AT56" s="620"/>
      <c r="AU56" s="620"/>
      <c r="AV56" s="620"/>
      <c r="AW56" s="620"/>
      <c r="AX56" s="620"/>
      <c r="AY56" s="620"/>
      <c r="AZ56" s="620"/>
      <c r="BA56" s="620"/>
      <c r="BB56" s="620"/>
      <c r="BC56" s="620"/>
      <c r="BD56" s="620"/>
      <c r="BE56" s="620"/>
      <c r="BF56" s="620"/>
      <c r="BG56" s="620"/>
      <c r="BH56" s="620"/>
      <c r="BI56" s="620"/>
      <c r="BJ56" s="620"/>
      <c r="BK56" s="620"/>
      <c r="BL56" s="620"/>
      <c r="BM56" s="620"/>
      <c r="BN56" s="620"/>
      <c r="BO56" s="620"/>
      <c r="BP56" s="620"/>
      <c r="BQ56" s="620"/>
    </row>
    <row r="57" spans="1:69" s="612" customFormat="1" ht="48" customHeight="1">
      <c r="A57" s="606" t="s">
        <v>339</v>
      </c>
      <c r="B57" s="607" t="s">
        <v>604</v>
      </c>
      <c r="C57" s="608" t="s">
        <v>62</v>
      </c>
      <c r="D57" s="608" t="s">
        <v>543</v>
      </c>
      <c r="E57" s="609">
        <f t="shared" si="4"/>
        <v>4449.174</v>
      </c>
      <c r="F57" s="609">
        <f>SUM(F58:F62)</f>
        <v>0</v>
      </c>
      <c r="G57" s="609">
        <f>SUM(G58:G62)</f>
        <v>4449.174</v>
      </c>
      <c r="H57" s="609">
        <f>SUM(H58:H62)</f>
        <v>0</v>
      </c>
      <c r="I57" s="609">
        <f t="shared" si="3"/>
        <v>194.39847</v>
      </c>
      <c r="J57" s="609">
        <f>SUM(J58:J62)</f>
        <v>0</v>
      </c>
      <c r="K57" s="609">
        <f>SUM(K58:K62)</f>
        <v>0</v>
      </c>
      <c r="L57" s="609">
        <f>SUM(L58:L62)</f>
        <v>194.39847</v>
      </c>
      <c r="M57" s="611"/>
      <c r="N57" s="611"/>
      <c r="O57" s="611"/>
      <c r="P57" s="611"/>
      <c r="Q57" s="611"/>
      <c r="R57" s="611"/>
      <c r="S57" s="611"/>
      <c r="T57" s="611"/>
      <c r="U57" s="611"/>
      <c r="V57" s="611"/>
      <c r="W57" s="611"/>
      <c r="X57" s="611"/>
      <c r="Y57" s="611"/>
      <c r="Z57" s="611"/>
      <c r="AA57" s="611"/>
      <c r="AB57" s="611"/>
      <c r="AC57" s="611"/>
      <c r="AD57" s="611"/>
      <c r="AE57" s="611"/>
      <c r="AF57" s="611"/>
      <c r="AG57" s="611"/>
      <c r="AH57" s="611"/>
      <c r="AI57" s="611"/>
      <c r="AJ57" s="611"/>
      <c r="AK57" s="611"/>
      <c r="AL57" s="611"/>
      <c r="AM57" s="611"/>
      <c r="AN57" s="611"/>
      <c r="AO57" s="611"/>
      <c r="AP57" s="611"/>
      <c r="AQ57" s="611"/>
      <c r="AR57" s="611"/>
      <c r="AS57" s="611"/>
      <c r="AT57" s="611"/>
      <c r="AU57" s="611"/>
      <c r="AV57" s="611"/>
      <c r="AW57" s="611"/>
      <c r="AX57" s="611"/>
      <c r="AY57" s="611"/>
      <c r="AZ57" s="611"/>
      <c r="BA57" s="611"/>
      <c r="BB57" s="611"/>
      <c r="BC57" s="611"/>
      <c r="BD57" s="611"/>
      <c r="BE57" s="611"/>
      <c r="BF57" s="611"/>
      <c r="BG57" s="611"/>
      <c r="BH57" s="611"/>
      <c r="BI57" s="611"/>
      <c r="BJ57" s="611"/>
      <c r="BK57" s="611"/>
      <c r="BL57" s="611"/>
      <c r="BM57" s="611"/>
      <c r="BN57" s="611"/>
      <c r="BO57" s="611"/>
      <c r="BP57" s="611"/>
      <c r="BQ57" s="611"/>
    </row>
    <row r="58" spans="1:69" s="621" customFormat="1" ht="16.5" customHeight="1">
      <c r="A58" s="613"/>
      <c r="B58" s="622" t="s">
        <v>637</v>
      </c>
      <c r="C58" s="647" t="s">
        <v>62</v>
      </c>
      <c r="D58" s="615" t="s">
        <v>543</v>
      </c>
      <c r="E58" s="618">
        <f t="shared" si="0"/>
        <v>360</v>
      </c>
      <c r="F58" s="618">
        <v>0</v>
      </c>
      <c r="G58" s="618">
        <v>360</v>
      </c>
      <c r="H58" s="618">
        <v>0</v>
      </c>
      <c r="I58" s="617">
        <f t="shared" si="3"/>
        <v>3.47485</v>
      </c>
      <c r="J58" s="617">
        <v>0</v>
      </c>
      <c r="K58" s="619">
        <v>0</v>
      </c>
      <c r="L58" s="617">
        <v>3.47485</v>
      </c>
      <c r="M58" s="620"/>
      <c r="N58" s="620"/>
      <c r="O58" s="620"/>
      <c r="P58" s="620"/>
      <c r="Q58" s="620"/>
      <c r="R58" s="620"/>
      <c r="S58" s="620"/>
      <c r="T58" s="620"/>
      <c r="U58" s="620"/>
      <c r="V58" s="620"/>
      <c r="W58" s="620"/>
      <c r="X58" s="620"/>
      <c r="Y58" s="620"/>
      <c r="Z58" s="620"/>
      <c r="AA58" s="620"/>
      <c r="AB58" s="620"/>
      <c r="AC58" s="620"/>
      <c r="AD58" s="620"/>
      <c r="AE58" s="620"/>
      <c r="AF58" s="620"/>
      <c r="AG58" s="620"/>
      <c r="AH58" s="620"/>
      <c r="AI58" s="620"/>
      <c r="AJ58" s="620"/>
      <c r="AK58" s="620"/>
      <c r="AL58" s="620"/>
      <c r="AM58" s="620"/>
      <c r="AN58" s="620"/>
      <c r="AO58" s="620"/>
      <c r="AP58" s="620"/>
      <c r="AQ58" s="620"/>
      <c r="AR58" s="620"/>
      <c r="AS58" s="620"/>
      <c r="AT58" s="620"/>
      <c r="AU58" s="620"/>
      <c r="AV58" s="620"/>
      <c r="AW58" s="620"/>
      <c r="AX58" s="620"/>
      <c r="AY58" s="620"/>
      <c r="AZ58" s="620"/>
      <c r="BA58" s="620"/>
      <c r="BB58" s="620"/>
      <c r="BC58" s="620"/>
      <c r="BD58" s="620"/>
      <c r="BE58" s="620"/>
      <c r="BF58" s="620"/>
      <c r="BG58" s="620"/>
      <c r="BH58" s="620"/>
      <c r="BI58" s="620"/>
      <c r="BJ58" s="620"/>
      <c r="BK58" s="620"/>
      <c r="BL58" s="620"/>
      <c r="BM58" s="620"/>
      <c r="BN58" s="620"/>
      <c r="BO58" s="620"/>
      <c r="BP58" s="620"/>
      <c r="BQ58" s="620"/>
    </row>
    <row r="59" spans="1:69" s="621" customFormat="1" ht="12.75">
      <c r="A59" s="613"/>
      <c r="B59" s="646" t="s">
        <v>638</v>
      </c>
      <c r="C59" s="647" t="s">
        <v>62</v>
      </c>
      <c r="D59" s="615" t="s">
        <v>543</v>
      </c>
      <c r="E59" s="618">
        <f t="shared" si="0"/>
        <v>648</v>
      </c>
      <c r="F59" s="618">
        <v>0</v>
      </c>
      <c r="G59" s="618">
        <v>648</v>
      </c>
      <c r="H59" s="618">
        <v>0</v>
      </c>
      <c r="I59" s="617">
        <f t="shared" si="3"/>
        <v>0</v>
      </c>
      <c r="J59" s="617">
        <v>0</v>
      </c>
      <c r="K59" s="619">
        <v>0</v>
      </c>
      <c r="L59" s="617">
        <v>0</v>
      </c>
      <c r="M59" s="620"/>
      <c r="N59" s="620"/>
      <c r="O59" s="620"/>
      <c r="P59" s="620"/>
      <c r="Q59" s="620"/>
      <c r="R59" s="620"/>
      <c r="S59" s="620"/>
      <c r="T59" s="620"/>
      <c r="U59" s="620"/>
      <c r="V59" s="620"/>
      <c r="W59" s="620"/>
      <c r="X59" s="620"/>
      <c r="Y59" s="620"/>
      <c r="Z59" s="620"/>
      <c r="AA59" s="620"/>
      <c r="AB59" s="620"/>
      <c r="AC59" s="620"/>
      <c r="AD59" s="620"/>
      <c r="AE59" s="620"/>
      <c r="AF59" s="620"/>
      <c r="AG59" s="620"/>
      <c r="AH59" s="620"/>
      <c r="AI59" s="620"/>
      <c r="AJ59" s="620"/>
      <c r="AK59" s="620"/>
      <c r="AL59" s="620"/>
      <c r="AM59" s="620"/>
      <c r="AN59" s="620"/>
      <c r="AO59" s="620"/>
      <c r="AP59" s="620"/>
      <c r="AQ59" s="620"/>
      <c r="AR59" s="620"/>
      <c r="AS59" s="620"/>
      <c r="AT59" s="620"/>
      <c r="AU59" s="620"/>
      <c r="AV59" s="620"/>
      <c r="AW59" s="620"/>
      <c r="AX59" s="620"/>
      <c r="AY59" s="620"/>
      <c r="AZ59" s="620"/>
      <c r="BA59" s="620"/>
      <c r="BB59" s="620"/>
      <c r="BC59" s="620"/>
      <c r="BD59" s="620"/>
      <c r="BE59" s="620"/>
      <c r="BF59" s="620"/>
      <c r="BG59" s="620"/>
      <c r="BH59" s="620"/>
      <c r="BI59" s="620"/>
      <c r="BJ59" s="620"/>
      <c r="BK59" s="620"/>
      <c r="BL59" s="620"/>
      <c r="BM59" s="620"/>
      <c r="BN59" s="620"/>
      <c r="BO59" s="620"/>
      <c r="BP59" s="620"/>
      <c r="BQ59" s="620"/>
    </row>
    <row r="60" spans="1:69" s="621" customFormat="1" ht="12.75">
      <c r="A60" s="613"/>
      <c r="B60" s="646" t="s">
        <v>639</v>
      </c>
      <c r="C60" s="647" t="s">
        <v>62</v>
      </c>
      <c r="D60" s="615" t="s">
        <v>543</v>
      </c>
      <c r="E60" s="618">
        <f t="shared" si="0"/>
        <v>60.75</v>
      </c>
      <c r="F60" s="618">
        <v>0</v>
      </c>
      <c r="G60" s="652">
        <v>60.75</v>
      </c>
      <c r="H60" s="618">
        <v>0</v>
      </c>
      <c r="I60" s="617">
        <f t="shared" si="3"/>
        <v>0</v>
      </c>
      <c r="J60" s="617">
        <v>0</v>
      </c>
      <c r="K60" s="619">
        <v>0</v>
      </c>
      <c r="L60" s="617">
        <v>0</v>
      </c>
      <c r="M60" s="620"/>
      <c r="N60" s="620"/>
      <c r="O60" s="620"/>
      <c r="P60" s="620"/>
      <c r="Q60" s="620"/>
      <c r="R60" s="620"/>
      <c r="S60" s="620"/>
      <c r="T60" s="620"/>
      <c r="U60" s="620"/>
      <c r="V60" s="620"/>
      <c r="W60" s="620"/>
      <c r="X60" s="620"/>
      <c r="Y60" s="620"/>
      <c r="Z60" s="620"/>
      <c r="AA60" s="620"/>
      <c r="AB60" s="620"/>
      <c r="AC60" s="620"/>
      <c r="AD60" s="620"/>
      <c r="AE60" s="620"/>
      <c r="AF60" s="620"/>
      <c r="AG60" s="620"/>
      <c r="AH60" s="620"/>
      <c r="AI60" s="620"/>
      <c r="AJ60" s="620"/>
      <c r="AK60" s="620"/>
      <c r="AL60" s="620"/>
      <c r="AM60" s="620"/>
      <c r="AN60" s="620"/>
      <c r="AO60" s="620"/>
      <c r="AP60" s="620"/>
      <c r="AQ60" s="620"/>
      <c r="AR60" s="620"/>
      <c r="AS60" s="620"/>
      <c r="AT60" s="620"/>
      <c r="AU60" s="620"/>
      <c r="AV60" s="620"/>
      <c r="AW60" s="620"/>
      <c r="AX60" s="620"/>
      <c r="AY60" s="620"/>
      <c r="AZ60" s="620"/>
      <c r="BA60" s="620"/>
      <c r="BB60" s="620"/>
      <c r="BC60" s="620"/>
      <c r="BD60" s="620"/>
      <c r="BE60" s="620"/>
      <c r="BF60" s="620"/>
      <c r="BG60" s="620"/>
      <c r="BH60" s="620"/>
      <c r="BI60" s="620"/>
      <c r="BJ60" s="620"/>
      <c r="BK60" s="620"/>
      <c r="BL60" s="620"/>
      <c r="BM60" s="620"/>
      <c r="BN60" s="620"/>
      <c r="BO60" s="620"/>
      <c r="BP60" s="620"/>
      <c r="BQ60" s="620"/>
    </row>
    <row r="61" spans="1:69" s="594" customFormat="1">
      <c r="A61" s="584"/>
      <c r="B61" s="646" t="s">
        <v>640</v>
      </c>
      <c r="C61" s="647" t="s">
        <v>62</v>
      </c>
      <c r="D61" s="615" t="s">
        <v>543</v>
      </c>
      <c r="E61" s="618">
        <f t="shared" si="0"/>
        <v>72</v>
      </c>
      <c r="F61" s="618">
        <v>0</v>
      </c>
      <c r="G61" s="618">
        <v>72</v>
      </c>
      <c r="H61" s="618">
        <v>0</v>
      </c>
      <c r="I61" s="617">
        <f t="shared" si="3"/>
        <v>0</v>
      </c>
      <c r="J61" s="617">
        <v>0</v>
      </c>
      <c r="K61" s="619">
        <v>0</v>
      </c>
      <c r="L61" s="617">
        <v>0</v>
      </c>
      <c r="M61" s="593"/>
      <c r="N61" s="593"/>
      <c r="O61" s="593"/>
      <c r="P61" s="593"/>
      <c r="Q61" s="593"/>
      <c r="R61" s="593"/>
      <c r="S61" s="593"/>
      <c r="T61" s="593"/>
      <c r="U61" s="593"/>
      <c r="V61" s="593"/>
      <c r="W61" s="593"/>
      <c r="X61" s="593"/>
      <c r="Y61" s="593"/>
      <c r="Z61" s="593"/>
      <c r="AA61" s="593"/>
      <c r="AB61" s="593"/>
      <c r="AC61" s="593"/>
      <c r="AD61" s="593"/>
      <c r="AE61" s="593"/>
      <c r="AF61" s="593"/>
      <c r="AG61" s="593"/>
      <c r="AH61" s="593"/>
      <c r="AI61" s="593"/>
      <c r="AJ61" s="593"/>
      <c r="AK61" s="593"/>
      <c r="AL61" s="593"/>
      <c r="AM61" s="593"/>
      <c r="AN61" s="593"/>
      <c r="AO61" s="593"/>
      <c r="AP61" s="593"/>
      <c r="AQ61" s="593"/>
      <c r="AR61" s="593"/>
      <c r="AS61" s="593"/>
      <c r="AT61" s="593"/>
      <c r="AU61" s="593"/>
      <c r="AV61" s="593"/>
      <c r="AW61" s="593"/>
      <c r="AX61" s="593"/>
      <c r="AY61" s="593"/>
      <c r="AZ61" s="593"/>
      <c r="BA61" s="593"/>
      <c r="BB61" s="593"/>
      <c r="BC61" s="593"/>
      <c r="BD61" s="593"/>
      <c r="BE61" s="593"/>
      <c r="BF61" s="593"/>
      <c r="BG61" s="593"/>
      <c r="BH61" s="593"/>
      <c r="BI61" s="593"/>
      <c r="BJ61" s="593"/>
      <c r="BK61" s="593"/>
      <c r="BL61" s="593"/>
      <c r="BM61" s="593"/>
      <c r="BN61" s="593"/>
      <c r="BO61" s="593"/>
      <c r="BP61" s="593"/>
      <c r="BQ61" s="593"/>
    </row>
    <row r="62" spans="1:69" s="594" customFormat="1">
      <c r="A62" s="584"/>
      <c r="B62" s="646" t="s">
        <v>641</v>
      </c>
      <c r="C62" s="647" t="s">
        <v>62</v>
      </c>
      <c r="D62" s="615" t="s">
        <v>543</v>
      </c>
      <c r="E62" s="618">
        <f t="shared" si="0"/>
        <v>3308.424</v>
      </c>
      <c r="F62" s="618">
        <v>0</v>
      </c>
      <c r="G62" s="652">
        <v>3308.424</v>
      </c>
      <c r="H62" s="618">
        <v>0</v>
      </c>
      <c r="I62" s="617">
        <f t="shared" si="3"/>
        <v>190.92362</v>
      </c>
      <c r="J62" s="617">
        <v>0</v>
      </c>
      <c r="K62" s="619">
        <v>0</v>
      </c>
      <c r="L62" s="617">
        <v>190.92362</v>
      </c>
      <c r="M62" s="593"/>
      <c r="N62" s="593"/>
      <c r="O62" s="593"/>
      <c r="P62" s="593"/>
      <c r="Q62" s="593"/>
      <c r="R62" s="593"/>
      <c r="S62" s="593"/>
      <c r="T62" s="593"/>
      <c r="U62" s="593"/>
      <c r="V62" s="593"/>
      <c r="W62" s="593"/>
      <c r="X62" s="593"/>
      <c r="Y62" s="593"/>
      <c r="Z62" s="593"/>
      <c r="AA62" s="593"/>
      <c r="AB62" s="593"/>
      <c r="AC62" s="593"/>
      <c r="AD62" s="593"/>
      <c r="AE62" s="593"/>
      <c r="AF62" s="593"/>
      <c r="AG62" s="593"/>
      <c r="AH62" s="593"/>
      <c r="AI62" s="593"/>
      <c r="AJ62" s="593"/>
      <c r="AK62" s="593"/>
      <c r="AL62" s="593"/>
      <c r="AM62" s="593"/>
      <c r="AN62" s="593"/>
      <c r="AO62" s="593"/>
      <c r="AP62" s="593"/>
      <c r="AQ62" s="593"/>
      <c r="AR62" s="593"/>
      <c r="AS62" s="593"/>
      <c r="AT62" s="593"/>
      <c r="AU62" s="593"/>
      <c r="AV62" s="593"/>
      <c r="AW62" s="593"/>
      <c r="AX62" s="593"/>
      <c r="AY62" s="593"/>
      <c r="AZ62" s="593"/>
      <c r="BA62" s="593"/>
      <c r="BB62" s="593"/>
      <c r="BC62" s="593"/>
      <c r="BD62" s="593"/>
      <c r="BE62" s="593"/>
      <c r="BF62" s="593"/>
      <c r="BG62" s="593"/>
      <c r="BH62" s="593"/>
      <c r="BI62" s="593"/>
      <c r="BJ62" s="593"/>
      <c r="BK62" s="593"/>
      <c r="BL62" s="593"/>
      <c r="BM62" s="593"/>
      <c r="BN62" s="593"/>
      <c r="BO62" s="593"/>
      <c r="BP62" s="593"/>
      <c r="BQ62" s="593"/>
    </row>
    <row r="63" spans="1:69" s="612" customFormat="1" ht="114.75" customHeight="1">
      <c r="A63" s="606" t="s">
        <v>343</v>
      </c>
      <c r="B63" s="607" t="s">
        <v>495</v>
      </c>
      <c r="C63" s="608" t="s">
        <v>62</v>
      </c>
      <c r="D63" s="608" t="s">
        <v>543</v>
      </c>
      <c r="E63" s="609">
        <f t="shared" si="0"/>
        <v>237.5</v>
      </c>
      <c r="F63" s="609">
        <v>0</v>
      </c>
      <c r="G63" s="609">
        <v>0</v>
      </c>
      <c r="H63" s="648">
        <v>237.5</v>
      </c>
      <c r="I63" s="609">
        <f t="shared" si="3"/>
        <v>0</v>
      </c>
      <c r="J63" s="609">
        <v>0</v>
      </c>
      <c r="K63" s="626">
        <v>0</v>
      </c>
      <c r="L63" s="609">
        <v>0</v>
      </c>
      <c r="M63" s="611"/>
      <c r="N63" s="611"/>
      <c r="O63" s="611"/>
      <c r="P63" s="611"/>
      <c r="Q63" s="611"/>
      <c r="R63" s="611"/>
      <c r="S63" s="611"/>
      <c r="T63" s="611"/>
      <c r="U63" s="611"/>
      <c r="V63" s="611"/>
      <c r="W63" s="611"/>
      <c r="X63" s="611"/>
      <c r="Y63" s="611"/>
      <c r="Z63" s="611"/>
      <c r="AA63" s="611"/>
      <c r="AB63" s="611"/>
      <c r="AC63" s="611"/>
      <c r="AD63" s="611"/>
      <c r="AE63" s="611"/>
      <c r="AF63" s="611"/>
      <c r="AG63" s="611"/>
      <c r="AH63" s="611"/>
      <c r="AI63" s="611"/>
      <c r="AJ63" s="611"/>
      <c r="AK63" s="611"/>
      <c r="AL63" s="611"/>
      <c r="AM63" s="611"/>
      <c r="AN63" s="611"/>
      <c r="AO63" s="611"/>
      <c r="AP63" s="611"/>
      <c r="AQ63" s="611"/>
      <c r="AR63" s="611"/>
      <c r="AS63" s="611"/>
      <c r="AT63" s="611"/>
      <c r="AU63" s="611"/>
      <c r="AV63" s="611"/>
      <c r="AW63" s="611"/>
      <c r="AX63" s="611"/>
      <c r="AY63" s="611"/>
      <c r="AZ63" s="611"/>
      <c r="BA63" s="611"/>
      <c r="BB63" s="611"/>
      <c r="BC63" s="611"/>
      <c r="BD63" s="611"/>
      <c r="BE63" s="611"/>
      <c r="BF63" s="611"/>
      <c r="BG63" s="611"/>
      <c r="BH63" s="611"/>
      <c r="BI63" s="611"/>
      <c r="BJ63" s="611"/>
      <c r="BK63" s="611"/>
      <c r="BL63" s="611"/>
      <c r="BM63" s="611"/>
      <c r="BN63" s="611"/>
      <c r="BO63" s="611"/>
      <c r="BP63" s="611"/>
      <c r="BQ63" s="611"/>
    </row>
    <row r="64" spans="1:69" s="605" customFormat="1" ht="36.75" customHeight="1">
      <c r="A64" s="598" t="s">
        <v>132</v>
      </c>
      <c r="B64" s="599" t="s">
        <v>131</v>
      </c>
      <c r="C64" s="599"/>
      <c r="D64" s="599"/>
      <c r="E64" s="601">
        <f t="shared" si="0"/>
        <v>196694.41999999998</v>
      </c>
      <c r="F64" s="601">
        <f>SUM(F65+F69+F72+F73)</f>
        <v>66489.42</v>
      </c>
      <c r="G64" s="601">
        <f>SUM(G65+G69+G72+G73)</f>
        <v>1000</v>
      </c>
      <c r="H64" s="601">
        <f>SUM(H65+H69+H72+H73)</f>
        <v>129205</v>
      </c>
      <c r="I64" s="601">
        <f t="shared" si="3"/>
        <v>31515.1155</v>
      </c>
      <c r="J64" s="601">
        <f>J65+J69+J72+J73</f>
        <v>17096.38118</v>
      </c>
      <c r="K64" s="601">
        <f>K65+K69+K72+K73</f>
        <v>0</v>
      </c>
      <c r="L64" s="601">
        <f>L65+L69+L72+L73</f>
        <v>14418.73432</v>
      </c>
      <c r="M64" s="603"/>
      <c r="N64" s="604"/>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603"/>
      <c r="AM64" s="603"/>
      <c r="AN64" s="603"/>
      <c r="AO64" s="603"/>
      <c r="AP64" s="603"/>
      <c r="AQ64" s="603"/>
      <c r="AR64" s="603"/>
      <c r="AS64" s="603"/>
      <c r="AT64" s="603"/>
      <c r="AU64" s="603"/>
      <c r="AV64" s="603"/>
      <c r="AW64" s="603"/>
      <c r="AX64" s="603"/>
      <c r="AY64" s="603"/>
      <c r="AZ64" s="603"/>
      <c r="BA64" s="603"/>
      <c r="BB64" s="603"/>
      <c r="BC64" s="603"/>
      <c r="BD64" s="603"/>
      <c r="BE64" s="603"/>
      <c r="BF64" s="603"/>
      <c r="BG64" s="603"/>
      <c r="BH64" s="603"/>
      <c r="BI64" s="603"/>
      <c r="BJ64" s="603"/>
      <c r="BK64" s="603"/>
      <c r="BL64" s="603"/>
      <c r="BM64" s="603"/>
      <c r="BN64" s="603"/>
      <c r="BO64" s="603"/>
      <c r="BP64" s="603"/>
      <c r="BQ64" s="603"/>
    </row>
    <row r="65" spans="1:69" s="612" customFormat="1" ht="50.25" customHeight="1">
      <c r="A65" s="606" t="s">
        <v>570</v>
      </c>
      <c r="B65" s="607" t="s">
        <v>571</v>
      </c>
      <c r="C65" s="608" t="s">
        <v>62</v>
      </c>
      <c r="D65" s="608" t="s">
        <v>543</v>
      </c>
      <c r="E65" s="609">
        <f t="shared" si="0"/>
        <v>188433.41999999998</v>
      </c>
      <c r="F65" s="609">
        <f>SUM(F66:F68)</f>
        <v>66489.42</v>
      </c>
      <c r="G65" s="609">
        <f>SUM(G66:G68)</f>
        <v>0</v>
      </c>
      <c r="H65" s="609">
        <f>SUM(H66:H68)</f>
        <v>121944</v>
      </c>
      <c r="I65" s="609">
        <f t="shared" si="3"/>
        <v>29571.5975</v>
      </c>
      <c r="J65" s="609">
        <v>17096.38118</v>
      </c>
      <c r="K65" s="609">
        <f>SUM(K66:K68)</f>
        <v>0</v>
      </c>
      <c r="L65" s="609">
        <f>SUM(L66:L68)</f>
        <v>12475.21632</v>
      </c>
      <c r="M65" s="611"/>
      <c r="N65" s="634"/>
      <c r="O65" s="611"/>
      <c r="P65" s="611"/>
      <c r="Q65" s="611"/>
      <c r="R65" s="611"/>
      <c r="S65" s="611"/>
      <c r="T65" s="611"/>
      <c r="U65" s="611"/>
      <c r="V65" s="611"/>
      <c r="W65" s="611"/>
      <c r="X65" s="611"/>
      <c r="Y65" s="611"/>
      <c r="Z65" s="611"/>
      <c r="AA65" s="611"/>
      <c r="AB65" s="611"/>
      <c r="AC65" s="611"/>
      <c r="AD65" s="611"/>
      <c r="AE65" s="611"/>
      <c r="AF65" s="611"/>
      <c r="AG65" s="611"/>
      <c r="AH65" s="611"/>
      <c r="AI65" s="611"/>
      <c r="AJ65" s="611"/>
      <c r="AK65" s="611"/>
      <c r="AL65" s="611"/>
      <c r="AM65" s="611"/>
      <c r="AN65" s="611"/>
      <c r="AO65" s="611"/>
      <c r="AP65" s="611"/>
      <c r="AQ65" s="611"/>
      <c r="AR65" s="611"/>
      <c r="AS65" s="611"/>
      <c r="AT65" s="611"/>
      <c r="AU65" s="611"/>
      <c r="AV65" s="611"/>
      <c r="AW65" s="611"/>
      <c r="AX65" s="611"/>
      <c r="AY65" s="611"/>
      <c r="AZ65" s="611"/>
      <c r="BA65" s="611"/>
      <c r="BB65" s="611"/>
      <c r="BC65" s="611"/>
      <c r="BD65" s="611"/>
      <c r="BE65" s="611"/>
      <c r="BF65" s="611"/>
      <c r="BG65" s="611"/>
      <c r="BH65" s="611"/>
      <c r="BI65" s="611"/>
      <c r="BJ65" s="611"/>
      <c r="BK65" s="611"/>
      <c r="BL65" s="611"/>
      <c r="BM65" s="611"/>
      <c r="BN65" s="611"/>
      <c r="BO65" s="611"/>
      <c r="BP65" s="611"/>
      <c r="BQ65" s="611"/>
    </row>
    <row r="66" spans="1:69" s="659" customFormat="1" ht="55.5" customHeight="1">
      <c r="A66" s="653"/>
      <c r="B66" s="646" t="s">
        <v>642</v>
      </c>
      <c r="C66" s="647" t="s">
        <v>62</v>
      </c>
      <c r="D66" s="647" t="s">
        <v>543</v>
      </c>
      <c r="E66" s="654">
        <f t="shared" si="0"/>
        <v>188433.41999999998</v>
      </c>
      <c r="F66" s="654">
        <v>66489.42</v>
      </c>
      <c r="G66" s="655">
        <v>0</v>
      </c>
      <c r="H66" s="654">
        <v>121944</v>
      </c>
      <c r="I66" s="654">
        <f t="shared" si="3"/>
        <v>25590.62009</v>
      </c>
      <c r="J66" s="654">
        <v>13115.403770000001</v>
      </c>
      <c r="K66" s="656">
        <v>0</v>
      </c>
      <c r="L66" s="654">
        <v>12475.21632</v>
      </c>
      <c r="M66" s="657"/>
      <c r="N66" s="658"/>
      <c r="O66" s="657"/>
      <c r="P66" s="657"/>
      <c r="Q66" s="657"/>
      <c r="R66" s="657"/>
      <c r="S66" s="657"/>
      <c r="T66" s="657"/>
      <c r="U66" s="657"/>
      <c r="V66" s="657"/>
      <c r="W66" s="657"/>
      <c r="X66" s="657"/>
      <c r="Y66" s="657"/>
      <c r="Z66" s="657"/>
      <c r="AA66" s="657"/>
      <c r="AB66" s="657"/>
      <c r="AC66" s="657"/>
      <c r="AD66" s="657"/>
      <c r="AE66" s="657"/>
      <c r="AF66" s="657"/>
      <c r="AG66" s="657"/>
      <c r="AH66" s="657"/>
      <c r="AI66" s="657"/>
      <c r="AJ66" s="657"/>
      <c r="AK66" s="657"/>
      <c r="AL66" s="657"/>
      <c r="AM66" s="657"/>
      <c r="AN66" s="657"/>
      <c r="AO66" s="657"/>
      <c r="AP66" s="657"/>
      <c r="AQ66" s="657"/>
      <c r="AR66" s="657"/>
      <c r="AS66" s="657"/>
      <c r="AT66" s="657"/>
      <c r="AU66" s="657"/>
      <c r="AV66" s="657"/>
      <c r="AW66" s="657"/>
      <c r="AX66" s="657"/>
      <c r="AY66" s="657"/>
      <c r="AZ66" s="657"/>
      <c r="BA66" s="657"/>
      <c r="BB66" s="657"/>
      <c r="BC66" s="657"/>
      <c r="BD66" s="657"/>
      <c r="BE66" s="657"/>
      <c r="BF66" s="657"/>
      <c r="BG66" s="657"/>
      <c r="BH66" s="657"/>
      <c r="BI66" s="657"/>
      <c r="BJ66" s="657"/>
      <c r="BK66" s="657"/>
      <c r="BL66" s="657"/>
      <c r="BM66" s="657"/>
      <c r="BN66" s="657"/>
      <c r="BO66" s="657"/>
      <c r="BP66" s="657"/>
      <c r="BQ66" s="657"/>
    </row>
    <row r="67" spans="1:69" s="659" customFormat="1" ht="39" customHeight="1">
      <c r="A67" s="653"/>
      <c r="B67" s="646" t="s">
        <v>643</v>
      </c>
      <c r="C67" s="647" t="s">
        <v>62</v>
      </c>
      <c r="D67" s="647" t="s">
        <v>543</v>
      </c>
      <c r="E67" s="654">
        <f t="shared" si="0"/>
        <v>0</v>
      </c>
      <c r="F67" s="654">
        <v>0</v>
      </c>
      <c r="G67" s="654">
        <v>0</v>
      </c>
      <c r="H67" s="654">
        <v>0</v>
      </c>
      <c r="I67" s="654">
        <f t="shared" si="3"/>
        <v>0</v>
      </c>
      <c r="J67" s="654">
        <v>0</v>
      </c>
      <c r="K67" s="656">
        <v>0</v>
      </c>
      <c r="L67" s="654">
        <v>0</v>
      </c>
      <c r="M67" s="657"/>
      <c r="N67" s="657"/>
      <c r="O67" s="657"/>
      <c r="P67" s="657"/>
      <c r="Q67" s="657"/>
      <c r="R67" s="657"/>
      <c r="S67" s="657"/>
      <c r="T67" s="657"/>
      <c r="U67" s="657"/>
      <c r="V67" s="657"/>
      <c r="W67" s="657"/>
      <c r="X67" s="657"/>
      <c r="Y67" s="657"/>
      <c r="Z67" s="657"/>
      <c r="AA67" s="657"/>
      <c r="AB67" s="657"/>
      <c r="AC67" s="657"/>
      <c r="AD67" s="657"/>
      <c r="AE67" s="657"/>
      <c r="AF67" s="657"/>
      <c r="AG67" s="657"/>
      <c r="AH67" s="657"/>
      <c r="AI67" s="657"/>
      <c r="AJ67" s="657"/>
      <c r="AK67" s="657"/>
      <c r="AL67" s="657"/>
      <c r="AM67" s="657"/>
      <c r="AN67" s="657"/>
      <c r="AO67" s="657"/>
      <c r="AP67" s="657"/>
      <c r="AQ67" s="657"/>
      <c r="AR67" s="657"/>
      <c r="AS67" s="657"/>
      <c r="AT67" s="657"/>
      <c r="AU67" s="657"/>
      <c r="AV67" s="657"/>
      <c r="AW67" s="657"/>
      <c r="AX67" s="657"/>
      <c r="AY67" s="657"/>
      <c r="AZ67" s="657"/>
      <c r="BA67" s="657"/>
      <c r="BB67" s="657"/>
      <c r="BC67" s="657"/>
      <c r="BD67" s="657"/>
      <c r="BE67" s="657"/>
      <c r="BF67" s="657"/>
      <c r="BG67" s="657"/>
      <c r="BH67" s="657"/>
      <c r="BI67" s="657"/>
      <c r="BJ67" s="657"/>
      <c r="BK67" s="657"/>
      <c r="BL67" s="657"/>
      <c r="BM67" s="657"/>
      <c r="BN67" s="657"/>
      <c r="BO67" s="657"/>
      <c r="BP67" s="657"/>
      <c r="BQ67" s="657"/>
    </row>
    <row r="68" spans="1:69" s="659" customFormat="1" ht="28.5" customHeight="1">
      <c r="A68" s="653"/>
      <c r="B68" s="646" t="s">
        <v>644</v>
      </c>
      <c r="C68" s="647" t="s">
        <v>62</v>
      </c>
      <c r="D68" s="647" t="s">
        <v>543</v>
      </c>
      <c r="E68" s="654">
        <f t="shared" si="0"/>
        <v>0</v>
      </c>
      <c r="F68" s="654">
        <v>0</v>
      </c>
      <c r="G68" s="654">
        <v>0</v>
      </c>
      <c r="H68" s="654">
        <v>0</v>
      </c>
      <c r="I68" s="654">
        <f t="shared" si="3"/>
        <v>0</v>
      </c>
      <c r="J68" s="654">
        <v>0</v>
      </c>
      <c r="K68" s="656">
        <v>0</v>
      </c>
      <c r="L68" s="654">
        <v>0</v>
      </c>
      <c r="M68" s="657"/>
      <c r="N68" s="657"/>
      <c r="O68" s="657"/>
      <c r="P68" s="657"/>
      <c r="Q68" s="657"/>
      <c r="R68" s="657"/>
      <c r="S68" s="657"/>
      <c r="T68" s="657"/>
      <c r="U68" s="657"/>
      <c r="V68" s="657"/>
      <c r="W68" s="657"/>
      <c r="X68" s="657"/>
      <c r="Y68" s="657"/>
      <c r="Z68" s="657"/>
      <c r="AA68" s="657"/>
      <c r="AB68" s="657"/>
      <c r="AC68" s="657"/>
      <c r="AD68" s="657"/>
      <c r="AE68" s="657"/>
      <c r="AF68" s="657"/>
      <c r="AG68" s="657"/>
      <c r="AH68" s="657"/>
      <c r="AI68" s="657"/>
      <c r="AJ68" s="657"/>
      <c r="AK68" s="657"/>
      <c r="AL68" s="657"/>
      <c r="AM68" s="657"/>
      <c r="AN68" s="657"/>
      <c r="AO68" s="657"/>
      <c r="AP68" s="657"/>
      <c r="AQ68" s="657"/>
      <c r="AR68" s="657"/>
      <c r="AS68" s="657"/>
      <c r="AT68" s="657"/>
      <c r="AU68" s="657"/>
      <c r="AV68" s="657"/>
      <c r="AW68" s="657"/>
      <c r="AX68" s="657"/>
      <c r="AY68" s="657"/>
      <c r="AZ68" s="657"/>
      <c r="BA68" s="657"/>
      <c r="BB68" s="657"/>
      <c r="BC68" s="657"/>
      <c r="BD68" s="657"/>
      <c r="BE68" s="657"/>
      <c r="BF68" s="657"/>
      <c r="BG68" s="657"/>
      <c r="BH68" s="657"/>
      <c r="BI68" s="657"/>
      <c r="BJ68" s="657"/>
      <c r="BK68" s="657"/>
      <c r="BL68" s="657"/>
      <c r="BM68" s="657"/>
      <c r="BN68" s="657"/>
      <c r="BO68" s="657"/>
      <c r="BP68" s="657"/>
      <c r="BQ68" s="657"/>
    </row>
    <row r="69" spans="1:69" s="612" customFormat="1" ht="52.5" customHeight="1">
      <c r="A69" s="606" t="s">
        <v>586</v>
      </c>
      <c r="B69" s="607" t="s">
        <v>587</v>
      </c>
      <c r="C69" s="608" t="s">
        <v>62</v>
      </c>
      <c r="D69" s="608" t="s">
        <v>550</v>
      </c>
      <c r="E69" s="609">
        <f>SUM(F69:H69)</f>
        <v>1000</v>
      </c>
      <c r="F69" s="609">
        <f>SUM(F70:F71)</f>
        <v>0</v>
      </c>
      <c r="G69" s="609">
        <f>SUM(G70:G71)</f>
        <v>1000</v>
      </c>
      <c r="H69" s="609">
        <f>SUM(H70:H71)</f>
        <v>0</v>
      </c>
      <c r="I69" s="609">
        <f t="shared" si="3"/>
        <v>0</v>
      </c>
      <c r="J69" s="609">
        <f>SUM(J70:J71)</f>
        <v>0</v>
      </c>
      <c r="K69" s="609">
        <f>SUM(K70:K71)</f>
        <v>0</v>
      </c>
      <c r="L69" s="609">
        <f>SUM(L70:L71)</f>
        <v>0</v>
      </c>
      <c r="M69" s="611"/>
      <c r="N69" s="611"/>
      <c r="O69" s="611"/>
      <c r="P69" s="611"/>
      <c r="Q69" s="611"/>
      <c r="R69" s="611"/>
      <c r="S69" s="611"/>
      <c r="T69" s="611"/>
      <c r="U69" s="611"/>
      <c r="V69" s="611"/>
      <c r="W69" s="611"/>
      <c r="X69" s="611"/>
      <c r="Y69" s="611"/>
      <c r="Z69" s="611"/>
      <c r="AA69" s="611"/>
      <c r="AB69" s="611"/>
      <c r="AC69" s="611"/>
      <c r="AD69" s="611"/>
      <c r="AE69" s="611"/>
      <c r="AF69" s="611"/>
      <c r="AG69" s="611"/>
      <c r="AH69" s="611"/>
      <c r="AI69" s="611"/>
      <c r="AJ69" s="611"/>
      <c r="AK69" s="611"/>
      <c r="AL69" s="611"/>
      <c r="AM69" s="611"/>
      <c r="AN69" s="611"/>
      <c r="AO69" s="611"/>
      <c r="AP69" s="611"/>
      <c r="AQ69" s="611"/>
      <c r="AR69" s="611"/>
      <c r="AS69" s="611"/>
      <c r="AT69" s="611"/>
      <c r="AU69" s="611"/>
      <c r="AV69" s="611"/>
      <c r="AW69" s="611"/>
      <c r="AX69" s="611"/>
      <c r="AY69" s="611"/>
      <c r="AZ69" s="611"/>
      <c r="BA69" s="611"/>
      <c r="BB69" s="611"/>
      <c r="BC69" s="611"/>
      <c r="BD69" s="611"/>
      <c r="BE69" s="611"/>
      <c r="BF69" s="611"/>
      <c r="BG69" s="611"/>
      <c r="BH69" s="611"/>
      <c r="BI69" s="611"/>
      <c r="BJ69" s="611"/>
      <c r="BK69" s="611"/>
      <c r="BL69" s="611"/>
      <c r="BM69" s="611"/>
      <c r="BN69" s="611"/>
      <c r="BO69" s="611"/>
      <c r="BP69" s="611"/>
      <c r="BQ69" s="611"/>
    </row>
    <row r="70" spans="1:69" s="659" customFormat="1" ht="20.25" customHeight="1">
      <c r="A70" s="653"/>
      <c r="B70" s="646" t="s">
        <v>645</v>
      </c>
      <c r="C70" s="647" t="s">
        <v>62</v>
      </c>
      <c r="D70" s="647" t="s">
        <v>550</v>
      </c>
      <c r="E70" s="654">
        <f>SUM(F70:H70)</f>
        <v>700</v>
      </c>
      <c r="F70" s="654">
        <v>0</v>
      </c>
      <c r="G70" s="654">
        <v>700</v>
      </c>
      <c r="H70" s="654">
        <v>0</v>
      </c>
      <c r="I70" s="654">
        <f t="shared" si="3"/>
        <v>0</v>
      </c>
      <c r="J70" s="654">
        <v>0</v>
      </c>
      <c r="K70" s="656">
        <v>0</v>
      </c>
      <c r="L70" s="654">
        <v>0</v>
      </c>
      <c r="M70" s="657"/>
      <c r="N70" s="657"/>
      <c r="O70" s="657"/>
      <c r="P70" s="657"/>
      <c r="Q70" s="657"/>
      <c r="R70" s="657"/>
      <c r="S70" s="657"/>
      <c r="T70" s="657"/>
      <c r="U70" s="657"/>
      <c r="V70" s="657"/>
      <c r="W70" s="657"/>
      <c r="X70" s="657"/>
      <c r="Y70" s="657"/>
      <c r="Z70" s="657"/>
      <c r="AA70" s="657"/>
      <c r="AB70" s="657"/>
      <c r="AC70" s="657"/>
      <c r="AD70" s="657"/>
      <c r="AE70" s="657"/>
      <c r="AF70" s="657"/>
      <c r="AG70" s="657"/>
      <c r="AH70" s="657"/>
      <c r="AI70" s="657"/>
      <c r="AJ70" s="657"/>
      <c r="AK70" s="657"/>
      <c r="AL70" s="657"/>
      <c r="AM70" s="657"/>
      <c r="AN70" s="657"/>
      <c r="AO70" s="657"/>
      <c r="AP70" s="657"/>
      <c r="AQ70" s="657"/>
      <c r="AR70" s="657"/>
      <c r="AS70" s="657"/>
      <c r="AT70" s="657"/>
      <c r="AU70" s="657"/>
      <c r="AV70" s="657"/>
      <c r="AW70" s="657"/>
      <c r="AX70" s="657"/>
      <c r="AY70" s="657"/>
      <c r="AZ70" s="657"/>
      <c r="BA70" s="657"/>
      <c r="BB70" s="657"/>
      <c r="BC70" s="657"/>
      <c r="BD70" s="657"/>
      <c r="BE70" s="657"/>
      <c r="BF70" s="657"/>
      <c r="BG70" s="657"/>
      <c r="BH70" s="657"/>
      <c r="BI70" s="657"/>
      <c r="BJ70" s="657"/>
      <c r="BK70" s="657"/>
      <c r="BL70" s="657"/>
      <c r="BM70" s="657"/>
      <c r="BN70" s="657"/>
      <c r="BO70" s="657"/>
      <c r="BP70" s="657"/>
      <c r="BQ70" s="657"/>
    </row>
    <row r="71" spans="1:69" s="659" customFormat="1" ht="37.5" customHeight="1">
      <c r="A71" s="653"/>
      <c r="B71" s="646" t="s">
        <v>646</v>
      </c>
      <c r="C71" s="647" t="s">
        <v>62</v>
      </c>
      <c r="D71" s="647" t="s">
        <v>550</v>
      </c>
      <c r="E71" s="654">
        <f>SUM(F71:H71)</f>
        <v>300</v>
      </c>
      <c r="F71" s="654">
        <v>0</v>
      </c>
      <c r="G71" s="654">
        <v>300</v>
      </c>
      <c r="H71" s="654">
        <v>0</v>
      </c>
      <c r="I71" s="654">
        <f t="shared" si="3"/>
        <v>0</v>
      </c>
      <c r="J71" s="654">
        <v>0</v>
      </c>
      <c r="K71" s="656">
        <v>0</v>
      </c>
      <c r="L71" s="654">
        <v>0</v>
      </c>
      <c r="M71" s="657"/>
      <c r="N71" s="657"/>
      <c r="O71" s="657"/>
      <c r="P71" s="657"/>
      <c r="Q71" s="657"/>
      <c r="R71" s="657"/>
      <c r="S71" s="657"/>
      <c r="T71" s="657"/>
      <c r="U71" s="657"/>
      <c r="V71" s="657"/>
      <c r="W71" s="657"/>
      <c r="X71" s="657"/>
      <c r="Y71" s="657"/>
      <c r="Z71" s="657"/>
      <c r="AA71" s="657"/>
      <c r="AB71" s="657"/>
      <c r="AC71" s="657"/>
      <c r="AD71" s="657"/>
      <c r="AE71" s="657"/>
      <c r="AF71" s="657"/>
      <c r="AG71" s="657"/>
      <c r="AH71" s="657"/>
      <c r="AI71" s="657"/>
      <c r="AJ71" s="657"/>
      <c r="AK71" s="657"/>
      <c r="AL71" s="657"/>
      <c r="AM71" s="657"/>
      <c r="AN71" s="657"/>
      <c r="AO71" s="657"/>
      <c r="AP71" s="657"/>
      <c r="AQ71" s="657"/>
      <c r="AR71" s="657"/>
      <c r="AS71" s="657"/>
      <c r="AT71" s="657"/>
      <c r="AU71" s="657"/>
      <c r="AV71" s="657"/>
      <c r="AW71" s="657"/>
      <c r="AX71" s="657"/>
      <c r="AY71" s="657"/>
      <c r="AZ71" s="657"/>
      <c r="BA71" s="657"/>
      <c r="BB71" s="657"/>
      <c r="BC71" s="657"/>
      <c r="BD71" s="657"/>
      <c r="BE71" s="657"/>
      <c r="BF71" s="657"/>
      <c r="BG71" s="657"/>
      <c r="BH71" s="657"/>
      <c r="BI71" s="657"/>
      <c r="BJ71" s="657"/>
      <c r="BK71" s="657"/>
      <c r="BL71" s="657"/>
      <c r="BM71" s="657"/>
      <c r="BN71" s="657"/>
      <c r="BO71" s="657"/>
      <c r="BP71" s="657"/>
      <c r="BQ71" s="657"/>
    </row>
    <row r="72" spans="1:69" s="612" customFormat="1" ht="115.5" customHeight="1">
      <c r="A72" s="606" t="s">
        <v>367</v>
      </c>
      <c r="B72" s="607" t="s">
        <v>572</v>
      </c>
      <c r="C72" s="608" t="s">
        <v>62</v>
      </c>
      <c r="D72" s="608" t="s">
        <v>543</v>
      </c>
      <c r="E72" s="609">
        <f t="shared" si="0"/>
        <v>420</v>
      </c>
      <c r="F72" s="609">
        <v>0</v>
      </c>
      <c r="G72" s="609">
        <v>0</v>
      </c>
      <c r="H72" s="609">
        <v>420</v>
      </c>
      <c r="I72" s="609">
        <f t="shared" si="3"/>
        <v>0</v>
      </c>
      <c r="J72" s="609">
        <v>0</v>
      </c>
      <c r="K72" s="626">
        <v>0</v>
      </c>
      <c r="L72" s="609">
        <v>0</v>
      </c>
      <c r="M72" s="611"/>
      <c r="N72" s="611"/>
      <c r="O72" s="611"/>
      <c r="P72" s="611"/>
      <c r="Q72" s="611"/>
      <c r="R72" s="611"/>
      <c r="S72" s="611"/>
      <c r="T72" s="611"/>
      <c r="U72" s="611"/>
      <c r="V72" s="611"/>
      <c r="W72" s="611"/>
      <c r="X72" s="611"/>
      <c r="Y72" s="611"/>
      <c r="Z72" s="611"/>
      <c r="AA72" s="611"/>
      <c r="AB72" s="611"/>
      <c r="AC72" s="611"/>
      <c r="AD72" s="611"/>
      <c r="AE72" s="611"/>
      <c r="AF72" s="611"/>
      <c r="AG72" s="611"/>
      <c r="AH72" s="611"/>
      <c r="AI72" s="611"/>
      <c r="AJ72" s="611"/>
      <c r="AK72" s="611"/>
      <c r="AL72" s="611"/>
      <c r="AM72" s="611"/>
      <c r="AN72" s="611"/>
      <c r="AO72" s="611"/>
      <c r="AP72" s="611"/>
      <c r="AQ72" s="611"/>
      <c r="AR72" s="611"/>
      <c r="AS72" s="611"/>
      <c r="AT72" s="611"/>
      <c r="AU72" s="611"/>
      <c r="AV72" s="611"/>
      <c r="AW72" s="611"/>
      <c r="AX72" s="611"/>
      <c r="AY72" s="611"/>
      <c r="AZ72" s="611"/>
      <c r="BA72" s="611"/>
      <c r="BB72" s="611"/>
      <c r="BC72" s="611"/>
      <c r="BD72" s="611"/>
      <c r="BE72" s="611"/>
      <c r="BF72" s="611"/>
      <c r="BG72" s="611"/>
      <c r="BH72" s="611"/>
      <c r="BI72" s="611"/>
      <c r="BJ72" s="611"/>
      <c r="BK72" s="611"/>
      <c r="BL72" s="611"/>
      <c r="BM72" s="611"/>
      <c r="BN72" s="611"/>
      <c r="BO72" s="611"/>
      <c r="BP72" s="611"/>
      <c r="BQ72" s="611"/>
    </row>
    <row r="73" spans="1:69" s="612" customFormat="1" ht="118.5" customHeight="1">
      <c r="A73" s="606" t="s">
        <v>514</v>
      </c>
      <c r="B73" s="607" t="s">
        <v>573</v>
      </c>
      <c r="C73" s="608" t="s">
        <v>599</v>
      </c>
      <c r="D73" s="608" t="s">
        <v>543</v>
      </c>
      <c r="E73" s="609">
        <f t="shared" si="0"/>
        <v>6841</v>
      </c>
      <c r="F73" s="609">
        <v>0</v>
      </c>
      <c r="G73" s="609">
        <v>0</v>
      </c>
      <c r="H73" s="609">
        <v>6841</v>
      </c>
      <c r="I73" s="609">
        <f t="shared" si="3"/>
        <v>1943.518</v>
      </c>
      <c r="J73" s="609">
        <v>0</v>
      </c>
      <c r="K73" s="626">
        <v>0</v>
      </c>
      <c r="L73" s="609">
        <v>1943.518</v>
      </c>
      <c r="M73" s="611"/>
      <c r="N73" s="611"/>
      <c r="O73" s="611"/>
      <c r="P73" s="611"/>
      <c r="Q73" s="611"/>
      <c r="R73" s="611"/>
      <c r="S73" s="611"/>
      <c r="T73" s="611"/>
      <c r="U73" s="611"/>
      <c r="V73" s="611"/>
      <c r="W73" s="611"/>
      <c r="X73" s="611"/>
      <c r="Y73" s="611"/>
      <c r="Z73" s="611"/>
      <c r="AA73" s="611"/>
      <c r="AB73" s="611"/>
      <c r="AC73" s="611"/>
      <c r="AD73" s="611"/>
      <c r="AE73" s="611"/>
      <c r="AF73" s="611"/>
      <c r="AG73" s="611"/>
      <c r="AH73" s="611"/>
      <c r="AI73" s="611"/>
      <c r="AJ73" s="611"/>
      <c r="AK73" s="611"/>
      <c r="AL73" s="611"/>
      <c r="AM73" s="611"/>
      <c r="AN73" s="611"/>
      <c r="AO73" s="611"/>
      <c r="AP73" s="611"/>
      <c r="AQ73" s="611"/>
      <c r="AR73" s="611"/>
      <c r="AS73" s="611"/>
      <c r="AT73" s="611"/>
      <c r="AU73" s="611"/>
      <c r="AV73" s="611"/>
      <c r="AW73" s="611"/>
      <c r="AX73" s="611"/>
      <c r="AY73" s="611"/>
      <c r="AZ73" s="611"/>
      <c r="BA73" s="611"/>
      <c r="BB73" s="611"/>
      <c r="BC73" s="611"/>
      <c r="BD73" s="611"/>
      <c r="BE73" s="611"/>
      <c r="BF73" s="611"/>
      <c r="BG73" s="611"/>
      <c r="BH73" s="611"/>
      <c r="BI73" s="611"/>
      <c r="BJ73" s="611"/>
      <c r="BK73" s="611"/>
      <c r="BL73" s="611"/>
      <c r="BM73" s="611"/>
      <c r="BN73" s="611"/>
      <c r="BO73" s="611"/>
      <c r="BP73" s="611"/>
      <c r="BQ73" s="611"/>
    </row>
    <row r="74" spans="1:69" s="605" customFormat="1" ht="68.25" customHeight="1">
      <c r="A74" s="598" t="s">
        <v>379</v>
      </c>
      <c r="B74" s="599" t="s">
        <v>574</v>
      </c>
      <c r="C74" s="600"/>
      <c r="D74" s="600"/>
      <c r="E74" s="601">
        <f>SUM(F74:H74)</f>
        <v>59240.05</v>
      </c>
      <c r="F74" s="601">
        <f>F75+F81+F82</f>
        <v>29969.599999999999</v>
      </c>
      <c r="G74" s="601">
        <f>G75+G81+G82</f>
        <v>28982.45</v>
      </c>
      <c r="H74" s="601">
        <f>H75+H81+H82</f>
        <v>288</v>
      </c>
      <c r="I74" s="601">
        <f t="shared" ref="I74:I82" si="5">SUM(J74:L74)</f>
        <v>15680.312330000001</v>
      </c>
      <c r="J74" s="601">
        <f>J75+J81+J82</f>
        <v>10377.44067</v>
      </c>
      <c r="K74" s="601">
        <f>K75+K81+K82</f>
        <v>0</v>
      </c>
      <c r="L74" s="601">
        <f>L75+L81+L82</f>
        <v>5302.8716599999998</v>
      </c>
      <c r="M74" s="603"/>
      <c r="N74" s="604"/>
      <c r="O74" s="603"/>
      <c r="P74" s="603"/>
      <c r="Q74" s="603"/>
      <c r="R74" s="603"/>
      <c r="S74" s="603"/>
      <c r="T74" s="603"/>
      <c r="U74" s="603"/>
      <c r="V74" s="603"/>
      <c r="W74" s="603"/>
      <c r="X74" s="603"/>
      <c r="Y74" s="603"/>
      <c r="Z74" s="603"/>
      <c r="AA74" s="603"/>
      <c r="AB74" s="603"/>
      <c r="AC74" s="603"/>
      <c r="AD74" s="603"/>
      <c r="AE74" s="603"/>
      <c r="AF74" s="603"/>
      <c r="AG74" s="603"/>
      <c r="AH74" s="603"/>
      <c r="AI74" s="603"/>
      <c r="AJ74" s="603"/>
      <c r="AK74" s="603"/>
      <c r="AL74" s="603"/>
      <c r="AM74" s="603"/>
      <c r="AN74" s="603"/>
      <c r="AO74" s="603"/>
      <c r="AP74" s="603"/>
      <c r="AQ74" s="603"/>
      <c r="AR74" s="603"/>
      <c r="AS74" s="603"/>
      <c r="AT74" s="603"/>
      <c r="AU74" s="603"/>
      <c r="AV74" s="603"/>
      <c r="AW74" s="603"/>
      <c r="AX74" s="603"/>
      <c r="AY74" s="603"/>
      <c r="AZ74" s="603"/>
      <c r="BA74" s="603"/>
      <c r="BB74" s="603"/>
      <c r="BC74" s="603"/>
      <c r="BD74" s="603"/>
      <c r="BE74" s="603"/>
      <c r="BF74" s="603"/>
      <c r="BG74" s="603"/>
      <c r="BH74" s="603"/>
      <c r="BI74" s="603"/>
      <c r="BJ74" s="603"/>
      <c r="BK74" s="603"/>
      <c r="BL74" s="603"/>
      <c r="BM74" s="603"/>
      <c r="BN74" s="603"/>
      <c r="BO74" s="603"/>
      <c r="BP74" s="603"/>
      <c r="BQ74" s="603"/>
    </row>
    <row r="75" spans="1:69" s="612" customFormat="1" ht="57.75" customHeight="1">
      <c r="A75" s="606" t="s">
        <v>380</v>
      </c>
      <c r="B75" s="607" t="s">
        <v>598</v>
      </c>
      <c r="C75" s="608" t="s">
        <v>62</v>
      </c>
      <c r="D75" s="608" t="s">
        <v>543</v>
      </c>
      <c r="E75" s="609">
        <f t="shared" si="0"/>
        <v>58952.05</v>
      </c>
      <c r="F75" s="625">
        <f>SUM(F76:F80)</f>
        <v>29969.599999999999</v>
      </c>
      <c r="G75" s="625">
        <f>SUM(G76:G80)</f>
        <v>28982.45</v>
      </c>
      <c r="H75" s="625">
        <f>SUM(H76:H80)</f>
        <v>0</v>
      </c>
      <c r="I75" s="609">
        <f t="shared" si="5"/>
        <v>14057.326150000001</v>
      </c>
      <c r="J75" s="609">
        <f>SUM(J76:J80)</f>
        <v>10377.44067</v>
      </c>
      <c r="K75" s="609">
        <f>SUM(K76:K80)</f>
        <v>0</v>
      </c>
      <c r="L75" s="609">
        <f>SUM(L76:L80)</f>
        <v>3679.8854799999999</v>
      </c>
      <c r="M75" s="611"/>
      <c r="N75" s="634"/>
      <c r="O75" s="611"/>
      <c r="P75" s="611"/>
      <c r="Q75" s="611"/>
      <c r="R75" s="611"/>
      <c r="S75" s="611"/>
      <c r="T75" s="611"/>
      <c r="U75" s="611"/>
      <c r="V75" s="611"/>
      <c r="W75" s="611"/>
      <c r="X75" s="611"/>
      <c r="Y75" s="611"/>
      <c r="Z75" s="611"/>
      <c r="AA75" s="611"/>
      <c r="AB75" s="611"/>
      <c r="AC75" s="611"/>
      <c r="AD75" s="611"/>
      <c r="AE75" s="611"/>
      <c r="AF75" s="611"/>
      <c r="AG75" s="611"/>
      <c r="AH75" s="611"/>
      <c r="AI75" s="611"/>
      <c r="AJ75" s="611"/>
      <c r="AK75" s="611"/>
      <c r="AL75" s="611"/>
      <c r="AM75" s="611"/>
      <c r="AN75" s="611"/>
      <c r="AO75" s="611"/>
      <c r="AP75" s="611"/>
      <c r="AQ75" s="611"/>
      <c r="AR75" s="611"/>
      <c r="AS75" s="611"/>
      <c r="AT75" s="611"/>
      <c r="AU75" s="611"/>
      <c r="AV75" s="611"/>
      <c r="AW75" s="611"/>
      <c r="AX75" s="611"/>
      <c r="AY75" s="611"/>
      <c r="AZ75" s="611"/>
      <c r="BA75" s="611"/>
      <c r="BB75" s="611"/>
      <c r="BC75" s="611"/>
      <c r="BD75" s="611"/>
      <c r="BE75" s="611"/>
      <c r="BF75" s="611"/>
      <c r="BG75" s="611"/>
      <c r="BH75" s="611"/>
      <c r="BI75" s="611"/>
      <c r="BJ75" s="611"/>
      <c r="BK75" s="611"/>
      <c r="BL75" s="611"/>
      <c r="BM75" s="611"/>
      <c r="BN75" s="611"/>
      <c r="BO75" s="611"/>
      <c r="BP75" s="611"/>
      <c r="BQ75" s="611"/>
    </row>
    <row r="76" spans="1:69" s="621" customFormat="1" ht="29.25" customHeight="1">
      <c r="A76" s="613"/>
      <c r="B76" s="622" t="s">
        <v>647</v>
      </c>
      <c r="C76" s="615" t="s">
        <v>62</v>
      </c>
      <c r="D76" s="615" t="s">
        <v>543</v>
      </c>
      <c r="E76" s="617">
        <f t="shared" si="0"/>
        <v>46871.24</v>
      </c>
      <c r="F76" s="617">
        <v>29969.599999999999</v>
      </c>
      <c r="G76" s="619">
        <v>16901.64</v>
      </c>
      <c r="H76" s="617">
        <v>0</v>
      </c>
      <c r="I76" s="617">
        <f t="shared" si="5"/>
        <v>8663.411970000001</v>
      </c>
      <c r="J76" s="617">
        <v>5956.5819700000002</v>
      </c>
      <c r="K76" s="619">
        <v>0</v>
      </c>
      <c r="L76" s="617">
        <v>2706.83</v>
      </c>
      <c r="M76" s="620"/>
      <c r="N76" s="641"/>
      <c r="O76" s="660"/>
      <c r="P76" s="620"/>
      <c r="Q76" s="620"/>
      <c r="R76" s="620"/>
      <c r="S76" s="620"/>
      <c r="T76" s="620"/>
      <c r="U76" s="620"/>
      <c r="V76" s="620"/>
      <c r="W76" s="620"/>
      <c r="X76" s="620"/>
      <c r="Y76" s="620"/>
      <c r="Z76" s="620"/>
      <c r="AA76" s="620"/>
      <c r="AB76" s="620"/>
      <c r="AC76" s="620"/>
      <c r="AD76" s="620"/>
      <c r="AE76" s="620"/>
      <c r="AF76" s="620"/>
      <c r="AG76" s="620"/>
      <c r="AH76" s="620"/>
      <c r="AI76" s="620"/>
      <c r="AJ76" s="620"/>
      <c r="AK76" s="620"/>
      <c r="AL76" s="620"/>
      <c r="AM76" s="620"/>
      <c r="AN76" s="620"/>
      <c r="AO76" s="620"/>
      <c r="AP76" s="620"/>
      <c r="AQ76" s="620"/>
      <c r="AR76" s="620"/>
      <c r="AS76" s="620"/>
      <c r="AT76" s="620"/>
      <c r="AU76" s="620"/>
      <c r="AV76" s="620"/>
      <c r="AW76" s="620"/>
      <c r="AX76" s="620"/>
      <c r="AY76" s="620"/>
      <c r="AZ76" s="620"/>
      <c r="BA76" s="620"/>
      <c r="BB76" s="620"/>
      <c r="BC76" s="620"/>
      <c r="BD76" s="620"/>
      <c r="BE76" s="620"/>
      <c r="BF76" s="620"/>
      <c r="BG76" s="620"/>
      <c r="BH76" s="620"/>
      <c r="BI76" s="620"/>
      <c r="BJ76" s="620"/>
      <c r="BK76" s="620"/>
      <c r="BL76" s="620"/>
      <c r="BM76" s="620"/>
      <c r="BN76" s="620"/>
      <c r="BO76" s="620"/>
      <c r="BP76" s="620"/>
      <c r="BQ76" s="620"/>
    </row>
    <row r="77" spans="1:69" s="621" customFormat="1" ht="19.5" customHeight="1">
      <c r="A77" s="613"/>
      <c r="B77" s="622" t="s">
        <v>648</v>
      </c>
      <c r="C77" s="615" t="s">
        <v>62</v>
      </c>
      <c r="D77" s="615" t="s">
        <v>543</v>
      </c>
      <c r="E77" s="617">
        <f t="shared" si="0"/>
        <v>9453.86</v>
      </c>
      <c r="F77" s="617">
        <v>0</v>
      </c>
      <c r="G77" s="619">
        <v>9453.86</v>
      </c>
      <c r="H77" s="617">
        <v>0</v>
      </c>
      <c r="I77" s="617">
        <f t="shared" si="5"/>
        <v>4420.8586999999998</v>
      </c>
      <c r="J77" s="617">
        <v>4420.8586999999998</v>
      </c>
      <c r="K77" s="619">
        <v>0</v>
      </c>
      <c r="L77" s="617">
        <v>0</v>
      </c>
      <c r="M77" s="620"/>
      <c r="N77" s="620"/>
      <c r="O77" s="620"/>
      <c r="P77" s="620"/>
      <c r="Q77" s="620"/>
      <c r="R77" s="620"/>
      <c r="S77" s="620"/>
      <c r="T77" s="620"/>
      <c r="U77" s="620"/>
      <c r="V77" s="620"/>
      <c r="W77" s="620"/>
      <c r="X77" s="620"/>
      <c r="Y77" s="620"/>
      <c r="Z77" s="620"/>
      <c r="AA77" s="620"/>
      <c r="AB77" s="620"/>
      <c r="AC77" s="620"/>
      <c r="AD77" s="620"/>
      <c r="AE77" s="620"/>
      <c r="AF77" s="620"/>
      <c r="AG77" s="620"/>
      <c r="AH77" s="620"/>
      <c r="AI77" s="620"/>
      <c r="AJ77" s="620"/>
      <c r="AK77" s="620"/>
      <c r="AL77" s="620"/>
      <c r="AM77" s="620"/>
      <c r="AN77" s="620"/>
      <c r="AO77" s="620"/>
      <c r="AP77" s="620"/>
      <c r="AQ77" s="620"/>
      <c r="AR77" s="620"/>
      <c r="AS77" s="620"/>
      <c r="AT77" s="620"/>
      <c r="AU77" s="620"/>
      <c r="AV77" s="620"/>
      <c r="AW77" s="620"/>
      <c r="AX77" s="620"/>
      <c r="AY77" s="620"/>
      <c r="AZ77" s="620"/>
      <c r="BA77" s="620"/>
      <c r="BB77" s="620"/>
      <c r="BC77" s="620"/>
      <c r="BD77" s="620"/>
      <c r="BE77" s="620"/>
      <c r="BF77" s="620"/>
      <c r="BG77" s="620"/>
      <c r="BH77" s="620"/>
      <c r="BI77" s="620"/>
      <c r="BJ77" s="620"/>
      <c r="BK77" s="620"/>
      <c r="BL77" s="620"/>
      <c r="BM77" s="620"/>
      <c r="BN77" s="620"/>
      <c r="BO77" s="620"/>
      <c r="BP77" s="620"/>
      <c r="BQ77" s="620"/>
    </row>
    <row r="78" spans="1:69" s="621" customFormat="1" ht="18.75" customHeight="1">
      <c r="A78" s="613"/>
      <c r="B78" s="622" t="s">
        <v>649</v>
      </c>
      <c r="C78" s="615" t="s">
        <v>62</v>
      </c>
      <c r="D78" s="615" t="s">
        <v>543</v>
      </c>
      <c r="E78" s="617">
        <f t="shared" si="0"/>
        <v>591.92999999999995</v>
      </c>
      <c r="F78" s="617">
        <v>0</v>
      </c>
      <c r="G78" s="619">
        <v>591.92999999999995</v>
      </c>
      <c r="H78" s="617">
        <v>0</v>
      </c>
      <c r="I78" s="617">
        <f t="shared" si="5"/>
        <v>0</v>
      </c>
      <c r="J78" s="617">
        <v>0</v>
      </c>
      <c r="K78" s="619">
        <v>0</v>
      </c>
      <c r="L78" s="617">
        <v>0</v>
      </c>
      <c r="M78" s="620"/>
      <c r="N78" s="620"/>
      <c r="O78" s="620"/>
      <c r="P78" s="620"/>
      <c r="Q78" s="620"/>
      <c r="R78" s="620"/>
      <c r="S78" s="620"/>
      <c r="T78" s="620"/>
      <c r="U78" s="620"/>
      <c r="V78" s="620"/>
      <c r="W78" s="620"/>
      <c r="X78" s="620"/>
      <c r="Y78" s="620"/>
      <c r="Z78" s="620"/>
      <c r="AA78" s="620"/>
      <c r="AB78" s="620"/>
      <c r="AC78" s="620"/>
      <c r="AD78" s="620"/>
      <c r="AE78" s="620"/>
      <c r="AF78" s="620"/>
      <c r="AG78" s="620"/>
      <c r="AH78" s="620"/>
      <c r="AI78" s="620"/>
      <c r="AJ78" s="620"/>
      <c r="AK78" s="620"/>
      <c r="AL78" s="620"/>
      <c r="AM78" s="620"/>
      <c r="AN78" s="620"/>
      <c r="AO78" s="620"/>
      <c r="AP78" s="620"/>
      <c r="AQ78" s="620"/>
      <c r="AR78" s="620"/>
      <c r="AS78" s="620"/>
      <c r="AT78" s="620"/>
      <c r="AU78" s="620"/>
      <c r="AV78" s="620"/>
      <c r="AW78" s="620"/>
      <c r="AX78" s="620"/>
      <c r="AY78" s="620"/>
      <c r="AZ78" s="620"/>
      <c r="BA78" s="620"/>
      <c r="BB78" s="620"/>
      <c r="BC78" s="620"/>
      <c r="BD78" s="620"/>
      <c r="BE78" s="620"/>
      <c r="BF78" s="620"/>
      <c r="BG78" s="620"/>
      <c r="BH78" s="620"/>
      <c r="BI78" s="620"/>
      <c r="BJ78" s="620"/>
      <c r="BK78" s="620"/>
      <c r="BL78" s="620"/>
      <c r="BM78" s="620"/>
      <c r="BN78" s="620"/>
      <c r="BO78" s="620"/>
      <c r="BP78" s="620"/>
      <c r="BQ78" s="620"/>
    </row>
    <row r="79" spans="1:69" s="621" customFormat="1" ht="21" customHeight="1">
      <c r="A79" s="613"/>
      <c r="B79" s="622" t="s">
        <v>650</v>
      </c>
      <c r="C79" s="615" t="s">
        <v>62</v>
      </c>
      <c r="D79" s="615" t="s">
        <v>543</v>
      </c>
      <c r="E79" s="617">
        <f t="shared" si="0"/>
        <v>1415.64</v>
      </c>
      <c r="F79" s="617">
        <v>0</v>
      </c>
      <c r="G79" s="619">
        <v>1415.64</v>
      </c>
      <c r="H79" s="617">
        <v>0</v>
      </c>
      <c r="I79" s="617">
        <f t="shared" si="5"/>
        <v>106.84196000000001</v>
      </c>
      <c r="J79" s="617">
        <v>0</v>
      </c>
      <c r="K79" s="619">
        <v>0</v>
      </c>
      <c r="L79" s="617">
        <f>65.98797+7.44611+3.98873+29.41915</f>
        <v>106.84196000000001</v>
      </c>
      <c r="M79" s="620"/>
      <c r="N79" s="620"/>
      <c r="O79" s="620"/>
      <c r="P79" s="620"/>
      <c r="Q79" s="620"/>
      <c r="R79" s="620"/>
      <c r="S79" s="620"/>
      <c r="T79" s="620"/>
      <c r="U79" s="620"/>
      <c r="V79" s="620"/>
      <c r="W79" s="620"/>
      <c r="X79" s="620"/>
      <c r="Y79" s="620"/>
      <c r="Z79" s="620"/>
      <c r="AA79" s="620"/>
      <c r="AB79" s="620"/>
      <c r="AC79" s="620"/>
      <c r="AD79" s="620"/>
      <c r="AE79" s="620"/>
      <c r="AF79" s="620"/>
      <c r="AG79" s="620"/>
      <c r="AH79" s="620"/>
      <c r="AI79" s="620"/>
      <c r="AJ79" s="620"/>
      <c r="AK79" s="620"/>
      <c r="AL79" s="620"/>
      <c r="AM79" s="620"/>
      <c r="AN79" s="620"/>
      <c r="AO79" s="620"/>
      <c r="AP79" s="620"/>
      <c r="AQ79" s="620"/>
      <c r="AR79" s="620"/>
      <c r="AS79" s="620"/>
      <c r="AT79" s="620"/>
      <c r="AU79" s="620"/>
      <c r="AV79" s="620"/>
      <c r="AW79" s="620"/>
      <c r="AX79" s="620"/>
      <c r="AY79" s="620"/>
      <c r="AZ79" s="620"/>
      <c r="BA79" s="620"/>
      <c r="BB79" s="620"/>
      <c r="BC79" s="620"/>
      <c r="BD79" s="620"/>
      <c r="BE79" s="620"/>
      <c r="BF79" s="620"/>
      <c r="BG79" s="620"/>
      <c r="BH79" s="620"/>
      <c r="BI79" s="620"/>
      <c r="BJ79" s="620"/>
      <c r="BK79" s="620"/>
      <c r="BL79" s="620"/>
      <c r="BM79" s="620"/>
      <c r="BN79" s="620"/>
      <c r="BO79" s="620"/>
      <c r="BP79" s="620"/>
      <c r="BQ79" s="620"/>
    </row>
    <row r="80" spans="1:69" s="621" customFormat="1" ht="34.5" customHeight="1">
      <c r="A80" s="613"/>
      <c r="B80" s="622" t="s">
        <v>651</v>
      </c>
      <c r="C80" s="615" t="s">
        <v>62</v>
      </c>
      <c r="D80" s="615" t="s">
        <v>543</v>
      </c>
      <c r="E80" s="617">
        <f t="shared" si="0"/>
        <v>619.38</v>
      </c>
      <c r="F80" s="617">
        <v>0</v>
      </c>
      <c r="G80" s="619">
        <v>619.38</v>
      </c>
      <c r="H80" s="617">
        <v>0</v>
      </c>
      <c r="I80" s="617">
        <f t="shared" si="5"/>
        <v>866.21352000000002</v>
      </c>
      <c r="J80" s="617">
        <v>0</v>
      </c>
      <c r="K80" s="619">
        <v>0</v>
      </c>
      <c r="L80" s="617">
        <v>866.21352000000002</v>
      </c>
      <c r="M80" s="620"/>
      <c r="N80" s="620"/>
      <c r="O80" s="620"/>
      <c r="P80" s="620"/>
      <c r="Q80" s="620"/>
      <c r="R80" s="620"/>
      <c r="S80" s="620"/>
      <c r="T80" s="620"/>
      <c r="U80" s="620"/>
      <c r="V80" s="620"/>
      <c r="W80" s="620"/>
      <c r="X80" s="620"/>
      <c r="Y80" s="620"/>
      <c r="Z80" s="620"/>
      <c r="AA80" s="620"/>
      <c r="AB80" s="620"/>
      <c r="AC80" s="620"/>
      <c r="AD80" s="620"/>
      <c r="AE80" s="620"/>
      <c r="AF80" s="620"/>
      <c r="AG80" s="620"/>
      <c r="AH80" s="620"/>
      <c r="AI80" s="620"/>
      <c r="AJ80" s="620"/>
      <c r="AK80" s="620"/>
      <c r="AL80" s="620"/>
      <c r="AM80" s="620"/>
      <c r="AN80" s="620"/>
      <c r="AO80" s="620"/>
      <c r="AP80" s="620"/>
      <c r="AQ80" s="620"/>
      <c r="AR80" s="620"/>
      <c r="AS80" s="620"/>
      <c r="AT80" s="620"/>
      <c r="AU80" s="620"/>
      <c r="AV80" s="620"/>
      <c r="AW80" s="620"/>
      <c r="AX80" s="620"/>
      <c r="AY80" s="620"/>
      <c r="AZ80" s="620"/>
      <c r="BA80" s="620"/>
      <c r="BB80" s="620"/>
      <c r="BC80" s="620"/>
      <c r="BD80" s="620"/>
      <c r="BE80" s="620"/>
      <c r="BF80" s="620"/>
      <c r="BG80" s="620"/>
      <c r="BH80" s="620"/>
      <c r="BI80" s="620"/>
      <c r="BJ80" s="620"/>
      <c r="BK80" s="620"/>
      <c r="BL80" s="620"/>
      <c r="BM80" s="620"/>
      <c r="BN80" s="620"/>
      <c r="BO80" s="620"/>
      <c r="BP80" s="620"/>
      <c r="BQ80" s="620"/>
    </row>
    <row r="81" spans="1:69" s="612" customFormat="1" ht="54" customHeight="1">
      <c r="A81" s="606" t="s">
        <v>576</v>
      </c>
      <c r="B81" s="607" t="s">
        <v>577</v>
      </c>
      <c r="C81" s="608" t="s">
        <v>575</v>
      </c>
      <c r="D81" s="608" t="s">
        <v>543</v>
      </c>
      <c r="E81" s="609">
        <f>SUM(F81:H81)</f>
        <v>0</v>
      </c>
      <c r="F81" s="609">
        <v>0</v>
      </c>
      <c r="G81" s="609">
        <v>0</v>
      </c>
      <c r="H81" s="625">
        <v>0</v>
      </c>
      <c r="I81" s="609">
        <f t="shared" si="5"/>
        <v>1622.9861800000001</v>
      </c>
      <c r="J81" s="609">
        <v>0</v>
      </c>
      <c r="K81" s="626">
        <v>0</v>
      </c>
      <c r="L81" s="609">
        <v>1622.9861800000001</v>
      </c>
      <c r="M81" s="611"/>
      <c r="N81" s="611"/>
      <c r="O81" s="611"/>
      <c r="P81" s="611"/>
      <c r="Q81" s="611"/>
      <c r="R81" s="611"/>
      <c r="S81" s="611"/>
      <c r="T81" s="611"/>
      <c r="U81" s="611"/>
      <c r="V81" s="611"/>
      <c r="W81" s="611"/>
      <c r="X81" s="611"/>
      <c r="Y81" s="611"/>
      <c r="Z81" s="611"/>
      <c r="AA81" s="611"/>
      <c r="AB81" s="611"/>
      <c r="AC81" s="611"/>
      <c r="AD81" s="611"/>
      <c r="AE81" s="611"/>
      <c r="AF81" s="611"/>
      <c r="AG81" s="611"/>
      <c r="AH81" s="611"/>
      <c r="AI81" s="611"/>
      <c r="AJ81" s="611"/>
      <c r="AK81" s="611"/>
      <c r="AL81" s="611"/>
      <c r="AM81" s="611"/>
      <c r="AN81" s="611"/>
      <c r="AO81" s="611"/>
      <c r="AP81" s="611"/>
      <c r="AQ81" s="611"/>
      <c r="AR81" s="611"/>
      <c r="AS81" s="611"/>
      <c r="AT81" s="611"/>
      <c r="AU81" s="611"/>
      <c r="AV81" s="611"/>
      <c r="AW81" s="611"/>
      <c r="AX81" s="611"/>
      <c r="AY81" s="611"/>
      <c r="AZ81" s="611"/>
      <c r="BA81" s="611"/>
      <c r="BB81" s="611"/>
      <c r="BC81" s="611"/>
      <c r="BD81" s="611"/>
      <c r="BE81" s="611"/>
      <c r="BF81" s="611"/>
      <c r="BG81" s="611"/>
      <c r="BH81" s="611"/>
      <c r="BI81" s="611"/>
      <c r="BJ81" s="611"/>
      <c r="BK81" s="611"/>
      <c r="BL81" s="611"/>
      <c r="BM81" s="611"/>
      <c r="BN81" s="611"/>
      <c r="BO81" s="611"/>
      <c r="BP81" s="611"/>
      <c r="BQ81" s="611"/>
    </row>
    <row r="82" spans="1:69" s="612" customFormat="1" ht="99.75" customHeight="1">
      <c r="A82" s="606" t="s">
        <v>384</v>
      </c>
      <c r="B82" s="607" t="s">
        <v>578</v>
      </c>
      <c r="C82" s="608" t="s">
        <v>62</v>
      </c>
      <c r="D82" s="608" t="s">
        <v>543</v>
      </c>
      <c r="E82" s="609">
        <f>SUM(F82:H82)</f>
        <v>288</v>
      </c>
      <c r="F82" s="609">
        <v>0</v>
      </c>
      <c r="G82" s="609">
        <v>0</v>
      </c>
      <c r="H82" s="625">
        <v>288</v>
      </c>
      <c r="I82" s="609">
        <f t="shared" si="5"/>
        <v>0</v>
      </c>
      <c r="J82" s="609">
        <v>0</v>
      </c>
      <c r="K82" s="626">
        <v>0</v>
      </c>
      <c r="L82" s="607">
        <v>0</v>
      </c>
      <c r="M82" s="611"/>
      <c r="N82" s="611"/>
      <c r="O82" s="611"/>
      <c r="P82" s="611"/>
      <c r="Q82" s="611"/>
      <c r="R82" s="611"/>
      <c r="S82" s="611"/>
      <c r="T82" s="611"/>
      <c r="U82" s="611"/>
      <c r="V82" s="611"/>
      <c r="W82" s="611"/>
      <c r="X82" s="611"/>
      <c r="Y82" s="611"/>
      <c r="Z82" s="611"/>
      <c r="AA82" s="611"/>
      <c r="AB82" s="611"/>
      <c r="AC82" s="611"/>
      <c r="AD82" s="611"/>
      <c r="AE82" s="611"/>
      <c r="AF82" s="611"/>
      <c r="AG82" s="611"/>
      <c r="AH82" s="611"/>
      <c r="AI82" s="611"/>
      <c r="AJ82" s="611"/>
      <c r="AK82" s="611"/>
      <c r="AL82" s="611"/>
      <c r="AM82" s="611"/>
      <c r="AN82" s="611"/>
      <c r="AO82" s="611"/>
      <c r="AP82" s="611"/>
      <c r="AQ82" s="611"/>
      <c r="AR82" s="611"/>
      <c r="AS82" s="611"/>
      <c r="AT82" s="611"/>
      <c r="AU82" s="611"/>
      <c r="AV82" s="611"/>
      <c r="AW82" s="611"/>
      <c r="AX82" s="611"/>
      <c r="AY82" s="611"/>
      <c r="AZ82" s="611"/>
      <c r="BA82" s="611"/>
      <c r="BB82" s="611"/>
      <c r="BC82" s="611"/>
      <c r="BD82" s="611"/>
      <c r="BE82" s="611"/>
      <c r="BF82" s="611"/>
      <c r="BG82" s="611"/>
      <c r="BH82" s="611"/>
      <c r="BI82" s="611"/>
      <c r="BJ82" s="611"/>
      <c r="BK82" s="611"/>
      <c r="BL82" s="611"/>
      <c r="BM82" s="611"/>
      <c r="BN82" s="611"/>
      <c r="BO82" s="611"/>
      <c r="BP82" s="611"/>
      <c r="BQ82" s="611"/>
    </row>
    <row r="83" spans="1:69" s="594" customFormat="1" ht="18.75" customHeight="1">
      <c r="A83" s="1079" t="s">
        <v>7</v>
      </c>
      <c r="B83" s="1079"/>
      <c r="C83" s="1079"/>
      <c r="D83" s="1079"/>
      <c r="E83" s="661">
        <f>SUM(F83:H83)</f>
        <v>321848.50131000002</v>
      </c>
      <c r="F83" s="662">
        <f>F12+F32+F43+F64+F74</f>
        <v>102576.70999999999</v>
      </c>
      <c r="G83" s="662">
        <f>G12+G32+G43+G64+G74</f>
        <v>47885.211309999999</v>
      </c>
      <c r="H83" s="662">
        <f>H12+H32+H43+H64+H74</f>
        <v>171386.58000000002</v>
      </c>
      <c r="I83" s="663">
        <f>SUM(J83:L83)</f>
        <v>72048.51973</v>
      </c>
      <c r="J83" s="663">
        <f>J12+J32+J43+J64+J74</f>
        <v>31347.20334</v>
      </c>
      <c r="K83" s="663">
        <f>K12+K32+K43+K64+K74</f>
        <v>1027.7296900000001</v>
      </c>
      <c r="L83" s="663">
        <f>L12+L32+L43+L64+L74</f>
        <v>39673.586699999993</v>
      </c>
      <c r="M83" s="593"/>
      <c r="N83" s="593"/>
      <c r="O83" s="593"/>
      <c r="P83" s="593"/>
      <c r="Q83" s="593"/>
      <c r="R83" s="593"/>
      <c r="S83" s="593"/>
      <c r="T83" s="593"/>
      <c r="U83" s="593"/>
      <c r="V83" s="593"/>
      <c r="W83" s="593"/>
      <c r="X83" s="593"/>
      <c r="Y83" s="593"/>
      <c r="Z83" s="593"/>
      <c r="AA83" s="593"/>
      <c r="AB83" s="593"/>
      <c r="AC83" s="593"/>
      <c r="AD83" s="593"/>
      <c r="AE83" s="593"/>
      <c r="AF83" s="593"/>
      <c r="AG83" s="593"/>
      <c r="AH83" s="593"/>
      <c r="AI83" s="593"/>
      <c r="AJ83" s="593"/>
      <c r="AK83" s="593"/>
      <c r="AL83" s="593"/>
      <c r="AM83" s="593"/>
      <c r="AN83" s="593"/>
      <c r="AO83" s="593"/>
      <c r="AP83" s="593"/>
      <c r="AQ83" s="593"/>
      <c r="AR83" s="593"/>
      <c r="AS83" s="593"/>
      <c r="AT83" s="593"/>
      <c r="AU83" s="593"/>
      <c r="AV83" s="593"/>
      <c r="AW83" s="593"/>
      <c r="AX83" s="593"/>
      <c r="AY83" s="593"/>
      <c r="AZ83" s="593"/>
      <c r="BA83" s="593"/>
      <c r="BB83" s="593"/>
      <c r="BC83" s="593"/>
      <c r="BD83" s="593"/>
      <c r="BE83" s="593"/>
      <c r="BF83" s="593"/>
      <c r="BG83" s="593"/>
      <c r="BH83" s="593"/>
      <c r="BI83" s="593"/>
      <c r="BJ83" s="593"/>
      <c r="BK83" s="593"/>
      <c r="BL83" s="593"/>
      <c r="BM83" s="593"/>
      <c r="BN83" s="593"/>
      <c r="BO83" s="593"/>
      <c r="BP83" s="593"/>
      <c r="BQ83" s="593"/>
    </row>
    <row r="84" spans="1:69">
      <c r="A84" s="589"/>
      <c r="G84" s="664"/>
      <c r="L84" s="665"/>
    </row>
    <row r="85" spans="1:69" s="666" customFormat="1" ht="18.75">
      <c r="B85" s="667" t="s">
        <v>406</v>
      </c>
      <c r="C85" s="668" t="s">
        <v>407</v>
      </c>
      <c r="H85" s="669"/>
      <c r="I85" s="670"/>
      <c r="J85" s="670"/>
      <c r="K85" s="670"/>
      <c r="L85" s="670"/>
      <c r="M85" s="670"/>
      <c r="N85" s="670"/>
      <c r="O85" s="670"/>
      <c r="P85" s="670"/>
      <c r="Q85" s="670"/>
      <c r="R85" s="670"/>
      <c r="S85" s="670"/>
      <c r="T85" s="670"/>
      <c r="U85" s="670"/>
      <c r="V85" s="670"/>
      <c r="W85" s="670"/>
      <c r="X85" s="670"/>
    </row>
    <row r="86" spans="1:69" s="666" customFormat="1" ht="29.25" customHeight="1">
      <c r="B86" s="667"/>
      <c r="C86" s="668"/>
      <c r="H86" s="669"/>
      <c r="I86" s="670"/>
      <c r="J86" s="670"/>
      <c r="K86" s="670"/>
      <c r="L86" s="670"/>
      <c r="M86" s="670"/>
      <c r="N86" s="670"/>
      <c r="O86" s="670"/>
      <c r="P86" s="670"/>
      <c r="Q86" s="670"/>
      <c r="R86" s="670"/>
      <c r="S86" s="670"/>
      <c r="T86" s="670"/>
      <c r="U86" s="670"/>
      <c r="V86" s="670"/>
      <c r="W86" s="670"/>
      <c r="X86" s="670"/>
    </row>
    <row r="87" spans="1:69" s="671" customFormat="1" ht="16.5" customHeight="1">
      <c r="B87" s="672" t="s">
        <v>683</v>
      </c>
      <c r="C87" s="673"/>
      <c r="H87" s="319"/>
      <c r="I87" s="265"/>
      <c r="J87" s="265"/>
      <c r="K87" s="265"/>
      <c r="L87" s="265"/>
      <c r="M87" s="265"/>
      <c r="N87" s="265"/>
      <c r="O87" s="265"/>
      <c r="P87" s="265"/>
      <c r="Q87" s="265"/>
      <c r="R87" s="265"/>
      <c r="S87" s="265"/>
      <c r="T87" s="265"/>
      <c r="U87" s="265"/>
      <c r="V87" s="265"/>
      <c r="W87" s="265"/>
      <c r="X87" s="265"/>
    </row>
    <row r="88" spans="1:69" s="125" customFormat="1" ht="16.5" customHeight="1">
      <c r="B88" s="237"/>
      <c r="C88" s="238"/>
      <c r="H88" s="319"/>
      <c r="I88" s="124"/>
      <c r="J88" s="124"/>
      <c r="K88" s="124"/>
      <c r="L88" s="124"/>
      <c r="M88" s="124"/>
      <c r="N88" s="124"/>
      <c r="O88" s="124"/>
      <c r="P88" s="124"/>
      <c r="Q88" s="124"/>
      <c r="R88" s="124"/>
      <c r="S88" s="124"/>
      <c r="T88" s="124"/>
      <c r="U88" s="124"/>
      <c r="V88" s="124"/>
      <c r="W88" s="124"/>
      <c r="X88" s="124"/>
    </row>
    <row r="89" spans="1:69">
      <c r="A89" s="589"/>
      <c r="L89" s="665"/>
    </row>
    <row r="90" spans="1:69">
      <c r="A90" s="674" t="s">
        <v>8</v>
      </c>
      <c r="B90" s="675"/>
      <c r="C90" s="676"/>
      <c r="D90" s="676"/>
      <c r="E90" s="677"/>
      <c r="F90" s="678"/>
      <c r="G90" s="679"/>
      <c r="H90" s="679"/>
      <c r="I90" s="680"/>
      <c r="J90" s="680"/>
      <c r="L90" s="665"/>
    </row>
    <row r="91" spans="1:69">
      <c r="A91" s="681"/>
      <c r="B91" s="682"/>
      <c r="C91" s="582"/>
      <c r="D91" s="582"/>
      <c r="E91" s="677"/>
      <c r="F91" s="678"/>
      <c r="G91" s="679"/>
      <c r="H91" s="679"/>
      <c r="I91" s="679"/>
      <c r="J91" s="679" t="s">
        <v>9</v>
      </c>
      <c r="L91" s="665"/>
    </row>
    <row r="92" spans="1:69">
      <c r="A92" s="681"/>
      <c r="B92" s="1067" t="s">
        <v>10</v>
      </c>
      <c r="C92" s="1068"/>
      <c r="D92" s="1069"/>
      <c r="E92" s="1070" t="s">
        <v>11</v>
      </c>
      <c r="F92" s="1071"/>
      <c r="G92" s="1072"/>
      <c r="H92" s="1070" t="s">
        <v>12</v>
      </c>
      <c r="I92" s="1071"/>
      <c r="J92" s="1072"/>
    </row>
    <row r="93" spans="1:69" ht="31.5">
      <c r="A93" s="681"/>
      <c r="B93" s="194" t="s">
        <v>13</v>
      </c>
      <c r="C93" s="194" t="s">
        <v>14</v>
      </c>
      <c r="D93" s="194" t="s">
        <v>15</v>
      </c>
      <c r="E93" s="683" t="s">
        <v>13</v>
      </c>
      <c r="F93" s="683" t="s">
        <v>14</v>
      </c>
      <c r="G93" s="683" t="s">
        <v>15</v>
      </c>
      <c r="H93" s="683" t="s">
        <v>13</v>
      </c>
      <c r="I93" s="683" t="s">
        <v>14</v>
      </c>
      <c r="J93" s="683" t="s">
        <v>15</v>
      </c>
    </row>
    <row r="94" spans="1:69">
      <c r="A94" s="684"/>
      <c r="B94" s="685">
        <f>SUM(C94:D94)</f>
        <v>321848.50131000002</v>
      </c>
      <c r="C94" s="685">
        <f>G83</f>
        <v>47885.211309999999</v>
      </c>
      <c r="D94" s="686">
        <f>H83+F83</f>
        <v>273963.29000000004</v>
      </c>
      <c r="E94" s="687">
        <f>SUM(F94:G94)</f>
        <v>72048.51973</v>
      </c>
      <c r="F94" s="687">
        <f>K83</f>
        <v>1027.7296900000001</v>
      </c>
      <c r="G94" s="687">
        <f>J83+L83</f>
        <v>71020.790039999993</v>
      </c>
      <c r="H94" s="662">
        <f>B94-E94</f>
        <v>249799.98158000002</v>
      </c>
      <c r="I94" s="688">
        <f>F94-C94</f>
        <v>-46857.481619999999</v>
      </c>
      <c r="J94" s="688">
        <f>G94-D94</f>
        <v>-202942.49996000004</v>
      </c>
    </row>
    <row r="95" spans="1:69">
      <c r="A95" s="589"/>
      <c r="C95" s="689"/>
    </row>
    <row r="96" spans="1:69">
      <c r="A96" s="589"/>
    </row>
    <row r="97" spans="1:24" s="666" customFormat="1" ht="18.75">
      <c r="B97" s="667" t="s">
        <v>406</v>
      </c>
      <c r="C97" s="668" t="s">
        <v>407</v>
      </c>
      <c r="H97" s="669"/>
      <c r="I97" s="670"/>
      <c r="J97" s="670"/>
      <c r="K97" s="670"/>
      <c r="L97" s="670"/>
      <c r="M97" s="670"/>
      <c r="N97" s="670"/>
      <c r="O97" s="670"/>
      <c r="P97" s="670"/>
      <c r="Q97" s="670"/>
      <c r="R97" s="670"/>
      <c r="S97" s="670"/>
      <c r="T97" s="670"/>
      <c r="U97" s="670"/>
      <c r="V97" s="670"/>
      <c r="W97" s="670"/>
      <c r="X97" s="670"/>
    </row>
    <row r="98" spans="1:24" s="666" customFormat="1" ht="29.25" customHeight="1">
      <c r="B98" s="667"/>
      <c r="C98" s="668"/>
      <c r="H98" s="669"/>
      <c r="I98" s="670"/>
      <c r="J98" s="670"/>
      <c r="K98" s="670"/>
      <c r="L98" s="670"/>
      <c r="M98" s="670"/>
      <c r="N98" s="670"/>
      <c r="O98" s="670"/>
      <c r="P98" s="670"/>
      <c r="Q98" s="670"/>
      <c r="R98" s="670"/>
      <c r="S98" s="670"/>
      <c r="T98" s="670"/>
      <c r="U98" s="670"/>
      <c r="V98" s="670"/>
      <c r="W98" s="670"/>
      <c r="X98" s="670"/>
    </row>
    <row r="99" spans="1:24" s="671" customFormat="1" ht="16.5" customHeight="1">
      <c r="B99" s="672" t="s">
        <v>683</v>
      </c>
      <c r="C99" s="673"/>
      <c r="H99" s="319"/>
      <c r="I99" s="265"/>
      <c r="J99" s="265"/>
      <c r="K99" s="265"/>
      <c r="L99" s="265"/>
      <c r="M99" s="265"/>
      <c r="N99" s="265"/>
      <c r="O99" s="265"/>
      <c r="P99" s="265"/>
      <c r="Q99" s="265"/>
      <c r="R99" s="265"/>
      <c r="S99" s="265"/>
      <c r="T99" s="265"/>
      <c r="U99" s="265"/>
      <c r="V99" s="265"/>
      <c r="W99" s="265"/>
      <c r="X99" s="265"/>
    </row>
    <row r="100" spans="1:24">
      <c r="A100" s="589"/>
    </row>
    <row r="101" spans="1:24">
      <c r="A101" s="589"/>
    </row>
    <row r="102" spans="1:24">
      <c r="A102" s="589"/>
    </row>
    <row r="103" spans="1:24">
      <c r="A103" s="589"/>
    </row>
    <row r="104" spans="1:24">
      <c r="A104" s="589"/>
    </row>
    <row r="105" spans="1:24">
      <c r="A105" s="589"/>
    </row>
    <row r="106" spans="1:24">
      <c r="A106" s="589"/>
    </row>
    <row r="107" spans="1:24">
      <c r="A107" s="589"/>
    </row>
    <row r="108" spans="1:24">
      <c r="A108" s="589"/>
    </row>
    <row r="109" spans="1:24">
      <c r="A109" s="589"/>
    </row>
    <row r="110" spans="1:24">
      <c r="A110" s="589"/>
    </row>
    <row r="111" spans="1:24">
      <c r="A111" s="589"/>
    </row>
    <row r="112" spans="1:24">
      <c r="A112" s="589"/>
    </row>
    <row r="113" spans="1:1">
      <c r="A113" s="589"/>
    </row>
    <row r="114" spans="1:1">
      <c r="A114" s="589"/>
    </row>
    <row r="115" spans="1:1">
      <c r="A115" s="589"/>
    </row>
    <row r="116" spans="1:1">
      <c r="A116" s="589"/>
    </row>
    <row r="117" spans="1:1">
      <c r="A117" s="589"/>
    </row>
    <row r="118" spans="1:1">
      <c r="A118" s="589"/>
    </row>
    <row r="119" spans="1:1">
      <c r="A119" s="589"/>
    </row>
    <row r="120" spans="1:1">
      <c r="A120" s="589"/>
    </row>
    <row r="121" spans="1:1">
      <c r="A121" s="589"/>
    </row>
    <row r="122" spans="1:1">
      <c r="A122" s="589"/>
    </row>
    <row r="123" spans="1:1">
      <c r="A123" s="589"/>
    </row>
    <row r="124" spans="1:1">
      <c r="A124" s="589"/>
    </row>
    <row r="125" spans="1:1">
      <c r="A125" s="589"/>
    </row>
    <row r="126" spans="1:1">
      <c r="A126" s="589"/>
    </row>
    <row r="127" spans="1:1">
      <c r="A127" s="589"/>
    </row>
    <row r="128" spans="1:1">
      <c r="A128" s="589"/>
    </row>
    <row r="129" spans="1:1">
      <c r="A129" s="589"/>
    </row>
    <row r="130" spans="1:1">
      <c r="A130" s="589"/>
    </row>
    <row r="131" spans="1:1">
      <c r="A131" s="589"/>
    </row>
    <row r="132" spans="1:1">
      <c r="A132" s="589"/>
    </row>
    <row r="133" spans="1:1">
      <c r="A133" s="589"/>
    </row>
    <row r="134" spans="1:1">
      <c r="A134" s="589"/>
    </row>
    <row r="135" spans="1:1">
      <c r="A135" s="589"/>
    </row>
    <row r="136" spans="1:1">
      <c r="A136" s="589"/>
    </row>
    <row r="137" spans="1:1">
      <c r="A137" s="589"/>
    </row>
    <row r="138" spans="1:1">
      <c r="A138" s="589"/>
    </row>
    <row r="139" spans="1:1">
      <c r="A139" s="589"/>
    </row>
    <row r="140" spans="1:1">
      <c r="A140" s="589"/>
    </row>
    <row r="141" spans="1:1">
      <c r="A141" s="589"/>
    </row>
    <row r="142" spans="1:1">
      <c r="A142" s="589"/>
    </row>
    <row r="143" spans="1:1">
      <c r="A143" s="589"/>
    </row>
    <row r="144" spans="1:1">
      <c r="A144" s="589"/>
    </row>
    <row r="145" spans="1:1">
      <c r="A145" s="589"/>
    </row>
    <row r="146" spans="1:1">
      <c r="A146" s="589"/>
    </row>
    <row r="147" spans="1:1">
      <c r="A147" s="589"/>
    </row>
    <row r="148" spans="1:1">
      <c r="A148" s="589"/>
    </row>
    <row r="149" spans="1:1">
      <c r="A149" s="589"/>
    </row>
    <row r="150" spans="1:1">
      <c r="A150" s="589"/>
    </row>
    <row r="151" spans="1:1">
      <c r="A151" s="589"/>
    </row>
    <row r="152" spans="1:1">
      <c r="A152" s="589"/>
    </row>
    <row r="153" spans="1:1">
      <c r="A153" s="589"/>
    </row>
    <row r="154" spans="1:1">
      <c r="A154" s="589"/>
    </row>
    <row r="155" spans="1:1">
      <c r="A155" s="589"/>
    </row>
    <row r="156" spans="1:1">
      <c r="A156" s="589"/>
    </row>
    <row r="157" spans="1:1">
      <c r="A157" s="589"/>
    </row>
    <row r="158" spans="1:1">
      <c r="A158" s="589"/>
    </row>
    <row r="159" spans="1:1">
      <c r="A159" s="589"/>
    </row>
    <row r="160" spans="1:1">
      <c r="A160" s="589"/>
    </row>
    <row r="161" spans="1:1">
      <c r="A161" s="589"/>
    </row>
    <row r="162" spans="1:1">
      <c r="A162" s="589"/>
    </row>
    <row r="163" spans="1:1">
      <c r="A163" s="589"/>
    </row>
    <row r="164" spans="1:1">
      <c r="A164" s="589"/>
    </row>
    <row r="165" spans="1:1">
      <c r="A165" s="589"/>
    </row>
    <row r="166" spans="1:1">
      <c r="A166" s="589"/>
    </row>
    <row r="167" spans="1:1">
      <c r="A167" s="589"/>
    </row>
    <row r="168" spans="1:1">
      <c r="A168" s="589"/>
    </row>
    <row r="169" spans="1:1">
      <c r="A169" s="589"/>
    </row>
    <row r="170" spans="1:1">
      <c r="A170" s="589"/>
    </row>
    <row r="171" spans="1:1">
      <c r="A171" s="589"/>
    </row>
    <row r="172" spans="1:1">
      <c r="A172" s="589"/>
    </row>
    <row r="173" spans="1:1">
      <c r="A173" s="589"/>
    </row>
    <row r="174" spans="1:1">
      <c r="A174" s="589"/>
    </row>
    <row r="175" spans="1:1">
      <c r="A175" s="589"/>
    </row>
    <row r="176" spans="1:1">
      <c r="A176" s="589"/>
    </row>
    <row r="177" spans="1:1">
      <c r="A177" s="589"/>
    </row>
    <row r="178" spans="1:1">
      <c r="A178" s="589"/>
    </row>
    <row r="179" spans="1:1">
      <c r="A179" s="589"/>
    </row>
    <row r="180" spans="1:1">
      <c r="A180" s="589"/>
    </row>
    <row r="181" spans="1:1">
      <c r="A181" s="589"/>
    </row>
    <row r="182" spans="1:1">
      <c r="A182" s="589"/>
    </row>
    <row r="183" spans="1:1">
      <c r="A183" s="589"/>
    </row>
    <row r="184" spans="1:1">
      <c r="A184" s="589"/>
    </row>
    <row r="185" spans="1:1">
      <c r="A185" s="589"/>
    </row>
    <row r="186" spans="1:1">
      <c r="A186" s="589"/>
    </row>
    <row r="187" spans="1:1">
      <c r="A187" s="589"/>
    </row>
    <row r="188" spans="1:1">
      <c r="A188" s="589"/>
    </row>
    <row r="189" spans="1:1">
      <c r="A189" s="589"/>
    </row>
    <row r="190" spans="1:1">
      <c r="A190" s="589"/>
    </row>
    <row r="191" spans="1:1">
      <c r="A191" s="589"/>
    </row>
    <row r="192" spans="1:1">
      <c r="A192" s="589"/>
    </row>
    <row r="193" spans="1:1">
      <c r="A193" s="589"/>
    </row>
    <row r="194" spans="1:1">
      <c r="A194" s="589"/>
    </row>
    <row r="195" spans="1:1">
      <c r="A195" s="589"/>
    </row>
    <row r="196" spans="1:1">
      <c r="A196" s="589"/>
    </row>
    <row r="197" spans="1:1">
      <c r="A197" s="589"/>
    </row>
    <row r="198" spans="1:1">
      <c r="A198" s="589"/>
    </row>
    <row r="199" spans="1:1">
      <c r="A199" s="589"/>
    </row>
    <row r="200" spans="1:1">
      <c r="A200" s="589"/>
    </row>
    <row r="201" spans="1:1">
      <c r="A201" s="589"/>
    </row>
    <row r="202" spans="1:1">
      <c r="A202" s="589"/>
    </row>
    <row r="203" spans="1:1">
      <c r="A203" s="589"/>
    </row>
    <row r="204" spans="1:1">
      <c r="A204" s="589"/>
    </row>
    <row r="205" spans="1:1">
      <c r="A205" s="589"/>
    </row>
    <row r="206" spans="1:1">
      <c r="A206" s="589"/>
    </row>
    <row r="207" spans="1:1">
      <c r="A207" s="589"/>
    </row>
    <row r="208" spans="1:1">
      <c r="A208" s="589"/>
    </row>
    <row r="209" spans="1:1">
      <c r="A209" s="589"/>
    </row>
    <row r="210" spans="1:1">
      <c r="A210" s="589"/>
    </row>
    <row r="211" spans="1:1">
      <c r="A211" s="589"/>
    </row>
    <row r="212" spans="1:1">
      <c r="A212" s="589"/>
    </row>
    <row r="213" spans="1:1">
      <c r="A213" s="589"/>
    </row>
    <row r="214" spans="1:1">
      <c r="A214" s="589"/>
    </row>
    <row r="215" spans="1:1">
      <c r="A215" s="589"/>
    </row>
    <row r="216" spans="1:1">
      <c r="A216" s="589"/>
    </row>
    <row r="217" spans="1:1">
      <c r="A217" s="589"/>
    </row>
    <row r="218" spans="1:1">
      <c r="A218" s="589"/>
    </row>
    <row r="219" spans="1:1">
      <c r="A219" s="589"/>
    </row>
    <row r="220" spans="1:1">
      <c r="A220" s="589"/>
    </row>
    <row r="221" spans="1:1">
      <c r="A221" s="589"/>
    </row>
    <row r="222" spans="1:1">
      <c r="A222" s="589"/>
    </row>
    <row r="223" spans="1:1">
      <c r="A223" s="589"/>
    </row>
    <row r="224" spans="1:1">
      <c r="A224" s="589"/>
    </row>
    <row r="225" spans="1:1">
      <c r="A225" s="589"/>
    </row>
    <row r="226" spans="1:1">
      <c r="A226" s="589"/>
    </row>
    <row r="227" spans="1:1">
      <c r="A227" s="589"/>
    </row>
    <row r="228" spans="1:1">
      <c r="A228" s="589"/>
    </row>
    <row r="229" spans="1:1">
      <c r="A229" s="589"/>
    </row>
    <row r="230" spans="1:1">
      <c r="A230" s="589"/>
    </row>
    <row r="231" spans="1:1">
      <c r="A231" s="589"/>
    </row>
    <row r="232" spans="1:1">
      <c r="A232" s="589"/>
    </row>
    <row r="233" spans="1:1">
      <c r="A233" s="589"/>
    </row>
    <row r="234" spans="1:1">
      <c r="A234" s="589"/>
    </row>
    <row r="235" spans="1:1">
      <c r="A235" s="589"/>
    </row>
    <row r="236" spans="1:1">
      <c r="A236" s="589"/>
    </row>
    <row r="237" spans="1:1">
      <c r="A237" s="589"/>
    </row>
    <row r="238" spans="1:1">
      <c r="A238" s="589"/>
    </row>
    <row r="239" spans="1:1">
      <c r="A239" s="589"/>
    </row>
    <row r="240" spans="1:1">
      <c r="A240" s="589"/>
    </row>
    <row r="241" spans="1:1">
      <c r="A241" s="589"/>
    </row>
    <row r="242" spans="1:1">
      <c r="A242" s="589"/>
    </row>
    <row r="243" spans="1:1">
      <c r="A243" s="589"/>
    </row>
    <row r="244" spans="1:1">
      <c r="A244" s="589"/>
    </row>
    <row r="245" spans="1:1">
      <c r="A245" s="589"/>
    </row>
    <row r="246" spans="1:1">
      <c r="A246" s="589"/>
    </row>
    <row r="247" spans="1:1">
      <c r="A247" s="589"/>
    </row>
    <row r="248" spans="1:1">
      <c r="A248" s="589"/>
    </row>
    <row r="249" spans="1:1">
      <c r="A249" s="589"/>
    </row>
    <row r="250" spans="1:1">
      <c r="A250" s="589"/>
    </row>
    <row r="251" spans="1:1">
      <c r="A251" s="589"/>
    </row>
    <row r="252" spans="1:1">
      <c r="A252" s="589"/>
    </row>
    <row r="253" spans="1:1">
      <c r="A253" s="589"/>
    </row>
    <row r="254" spans="1:1">
      <c r="A254" s="589"/>
    </row>
    <row r="255" spans="1:1">
      <c r="A255" s="589"/>
    </row>
    <row r="256" spans="1:1">
      <c r="A256" s="589"/>
    </row>
    <row r="257" spans="1:1">
      <c r="A257" s="589"/>
    </row>
    <row r="258" spans="1:1">
      <c r="A258" s="589"/>
    </row>
    <row r="259" spans="1:1">
      <c r="A259" s="589"/>
    </row>
    <row r="260" spans="1:1">
      <c r="A260" s="589"/>
    </row>
    <row r="261" spans="1:1">
      <c r="A261" s="589"/>
    </row>
    <row r="262" spans="1:1">
      <c r="A262" s="589"/>
    </row>
    <row r="263" spans="1:1">
      <c r="A263" s="589"/>
    </row>
    <row r="264" spans="1:1">
      <c r="A264" s="589"/>
    </row>
    <row r="265" spans="1:1">
      <c r="A265" s="589"/>
    </row>
    <row r="266" spans="1:1">
      <c r="A266" s="589"/>
    </row>
    <row r="267" spans="1:1">
      <c r="A267" s="589"/>
    </row>
    <row r="268" spans="1:1">
      <c r="A268" s="589"/>
    </row>
    <row r="269" spans="1:1">
      <c r="A269" s="589"/>
    </row>
    <row r="270" spans="1:1">
      <c r="A270" s="589"/>
    </row>
    <row r="271" spans="1:1">
      <c r="A271" s="589"/>
    </row>
    <row r="272" spans="1:1">
      <c r="A272" s="589"/>
    </row>
    <row r="273" spans="1:1">
      <c r="A273" s="589"/>
    </row>
    <row r="274" spans="1:1">
      <c r="A274" s="589"/>
    </row>
    <row r="275" spans="1:1">
      <c r="A275" s="589"/>
    </row>
    <row r="276" spans="1:1">
      <c r="A276" s="589"/>
    </row>
    <row r="277" spans="1:1">
      <c r="A277" s="589"/>
    </row>
    <row r="278" spans="1:1">
      <c r="A278" s="589"/>
    </row>
    <row r="279" spans="1:1">
      <c r="A279" s="589"/>
    </row>
    <row r="280" spans="1:1">
      <c r="A280" s="589"/>
    </row>
    <row r="281" spans="1:1">
      <c r="A281" s="589"/>
    </row>
    <row r="282" spans="1:1">
      <c r="A282" s="589"/>
    </row>
    <row r="283" spans="1:1">
      <c r="A283" s="589"/>
    </row>
    <row r="284" spans="1:1">
      <c r="A284" s="589"/>
    </row>
    <row r="285" spans="1:1">
      <c r="A285" s="589"/>
    </row>
    <row r="286" spans="1:1">
      <c r="A286" s="589"/>
    </row>
    <row r="287" spans="1:1">
      <c r="A287" s="589"/>
    </row>
    <row r="288" spans="1:1">
      <c r="A288" s="589"/>
    </row>
    <row r="289" spans="1:1">
      <c r="A289" s="589"/>
    </row>
    <row r="290" spans="1:1">
      <c r="A290" s="589"/>
    </row>
    <row r="291" spans="1:1">
      <c r="A291" s="589"/>
    </row>
    <row r="292" spans="1:1">
      <c r="A292" s="589"/>
    </row>
    <row r="293" spans="1:1">
      <c r="A293" s="589"/>
    </row>
    <row r="294" spans="1:1">
      <c r="A294" s="589"/>
    </row>
    <row r="295" spans="1:1">
      <c r="A295" s="589"/>
    </row>
    <row r="296" spans="1:1">
      <c r="A296" s="589"/>
    </row>
    <row r="297" spans="1:1">
      <c r="A297" s="589"/>
    </row>
    <row r="298" spans="1:1">
      <c r="A298" s="589"/>
    </row>
    <row r="299" spans="1:1">
      <c r="A299" s="589"/>
    </row>
    <row r="300" spans="1:1">
      <c r="A300" s="589"/>
    </row>
    <row r="301" spans="1:1">
      <c r="A301" s="589"/>
    </row>
    <row r="302" spans="1:1">
      <c r="A302" s="589"/>
    </row>
    <row r="303" spans="1:1">
      <c r="A303" s="589"/>
    </row>
    <row r="304" spans="1:1">
      <c r="A304" s="589"/>
    </row>
    <row r="305" spans="1:1">
      <c r="A305" s="589"/>
    </row>
    <row r="306" spans="1:1">
      <c r="A306" s="589"/>
    </row>
    <row r="307" spans="1:1">
      <c r="A307" s="589"/>
    </row>
    <row r="308" spans="1:1">
      <c r="A308" s="589"/>
    </row>
    <row r="309" spans="1:1">
      <c r="A309" s="589"/>
    </row>
    <row r="310" spans="1:1">
      <c r="A310" s="589"/>
    </row>
    <row r="311" spans="1:1">
      <c r="A311" s="589"/>
    </row>
    <row r="312" spans="1:1">
      <c r="A312" s="589"/>
    </row>
    <row r="313" spans="1:1">
      <c r="A313" s="589"/>
    </row>
    <row r="314" spans="1:1">
      <c r="A314" s="589"/>
    </row>
    <row r="315" spans="1:1">
      <c r="A315" s="589"/>
    </row>
    <row r="316" spans="1:1">
      <c r="A316" s="589"/>
    </row>
    <row r="317" spans="1:1">
      <c r="A317" s="589"/>
    </row>
    <row r="318" spans="1:1">
      <c r="A318" s="589"/>
    </row>
    <row r="319" spans="1:1">
      <c r="A319" s="589"/>
    </row>
    <row r="320" spans="1:1">
      <c r="A320" s="589"/>
    </row>
    <row r="321" spans="1:1">
      <c r="A321" s="589"/>
    </row>
    <row r="322" spans="1:1">
      <c r="A322" s="589"/>
    </row>
    <row r="323" spans="1:1">
      <c r="A323" s="589"/>
    </row>
    <row r="324" spans="1:1">
      <c r="A324" s="589"/>
    </row>
    <row r="325" spans="1:1">
      <c r="A325" s="589"/>
    </row>
    <row r="326" spans="1:1">
      <c r="A326" s="589"/>
    </row>
    <row r="327" spans="1:1">
      <c r="A327" s="589"/>
    </row>
    <row r="328" spans="1:1">
      <c r="A328" s="589"/>
    </row>
    <row r="329" spans="1:1">
      <c r="A329" s="589"/>
    </row>
    <row r="330" spans="1:1">
      <c r="A330" s="589"/>
    </row>
    <row r="331" spans="1:1">
      <c r="A331" s="589"/>
    </row>
    <row r="332" spans="1:1">
      <c r="A332" s="589"/>
    </row>
    <row r="333" spans="1:1">
      <c r="A333" s="589"/>
    </row>
    <row r="334" spans="1:1">
      <c r="A334" s="589"/>
    </row>
    <row r="335" spans="1:1">
      <c r="A335" s="589"/>
    </row>
    <row r="336" spans="1:1">
      <c r="A336" s="589"/>
    </row>
    <row r="337" spans="1:1">
      <c r="A337" s="589"/>
    </row>
    <row r="338" spans="1:1">
      <c r="A338" s="589"/>
    </row>
    <row r="339" spans="1:1">
      <c r="A339" s="589"/>
    </row>
    <row r="340" spans="1:1">
      <c r="A340" s="589"/>
    </row>
    <row r="341" spans="1:1">
      <c r="A341" s="589"/>
    </row>
    <row r="342" spans="1:1">
      <c r="A342" s="589"/>
    </row>
    <row r="343" spans="1:1">
      <c r="A343" s="589"/>
    </row>
    <row r="344" spans="1:1">
      <c r="A344" s="589"/>
    </row>
    <row r="345" spans="1:1">
      <c r="A345" s="589"/>
    </row>
    <row r="346" spans="1:1">
      <c r="A346" s="589"/>
    </row>
    <row r="347" spans="1:1">
      <c r="A347" s="589"/>
    </row>
    <row r="348" spans="1:1">
      <c r="A348" s="589"/>
    </row>
    <row r="349" spans="1:1">
      <c r="A349" s="589"/>
    </row>
    <row r="350" spans="1:1">
      <c r="A350" s="589"/>
    </row>
    <row r="351" spans="1:1">
      <c r="A351" s="589"/>
    </row>
    <row r="352" spans="1:1">
      <c r="A352" s="589"/>
    </row>
    <row r="353" spans="1:1">
      <c r="A353" s="589"/>
    </row>
    <row r="354" spans="1:1">
      <c r="A354" s="589"/>
    </row>
    <row r="355" spans="1:1">
      <c r="A355" s="589"/>
    </row>
    <row r="356" spans="1:1">
      <c r="A356" s="589"/>
    </row>
    <row r="357" spans="1:1">
      <c r="A357" s="589"/>
    </row>
    <row r="358" spans="1:1">
      <c r="A358" s="589"/>
    </row>
    <row r="359" spans="1:1">
      <c r="A359" s="589"/>
    </row>
    <row r="360" spans="1:1">
      <c r="A360" s="589"/>
    </row>
    <row r="361" spans="1:1">
      <c r="A361" s="589"/>
    </row>
    <row r="362" spans="1:1">
      <c r="A362" s="589"/>
    </row>
    <row r="363" spans="1:1">
      <c r="A363" s="589"/>
    </row>
    <row r="364" spans="1:1">
      <c r="A364" s="589"/>
    </row>
    <row r="365" spans="1:1">
      <c r="A365" s="589"/>
    </row>
    <row r="366" spans="1:1">
      <c r="A366" s="589"/>
    </row>
    <row r="367" spans="1:1">
      <c r="A367" s="589"/>
    </row>
    <row r="368" spans="1:1">
      <c r="A368" s="589"/>
    </row>
    <row r="369" spans="1:1">
      <c r="A369" s="589"/>
    </row>
    <row r="370" spans="1:1">
      <c r="A370" s="589"/>
    </row>
    <row r="371" spans="1:1">
      <c r="A371" s="589"/>
    </row>
    <row r="372" spans="1:1">
      <c r="A372" s="589"/>
    </row>
    <row r="373" spans="1:1">
      <c r="A373" s="589"/>
    </row>
    <row r="374" spans="1:1">
      <c r="A374" s="589"/>
    </row>
    <row r="375" spans="1:1">
      <c r="A375" s="589"/>
    </row>
    <row r="376" spans="1:1">
      <c r="A376" s="589"/>
    </row>
    <row r="377" spans="1:1">
      <c r="A377" s="589"/>
    </row>
    <row r="378" spans="1:1">
      <c r="A378" s="589"/>
    </row>
    <row r="379" spans="1:1">
      <c r="A379" s="589"/>
    </row>
    <row r="380" spans="1:1">
      <c r="A380" s="589"/>
    </row>
    <row r="381" spans="1:1">
      <c r="A381" s="589"/>
    </row>
    <row r="382" spans="1:1">
      <c r="A382" s="589"/>
    </row>
    <row r="383" spans="1:1">
      <c r="A383" s="589"/>
    </row>
    <row r="384" spans="1:1">
      <c r="A384" s="589"/>
    </row>
    <row r="385" spans="1:1">
      <c r="A385" s="589"/>
    </row>
    <row r="386" spans="1:1">
      <c r="A386" s="589"/>
    </row>
    <row r="387" spans="1:1">
      <c r="A387" s="589"/>
    </row>
    <row r="388" spans="1:1">
      <c r="A388" s="589"/>
    </row>
    <row r="389" spans="1:1">
      <c r="A389" s="589"/>
    </row>
    <row r="390" spans="1:1">
      <c r="A390" s="589"/>
    </row>
    <row r="391" spans="1:1">
      <c r="A391" s="589"/>
    </row>
    <row r="392" spans="1:1">
      <c r="A392" s="589"/>
    </row>
    <row r="393" spans="1:1">
      <c r="A393" s="589"/>
    </row>
    <row r="394" spans="1:1">
      <c r="A394" s="589"/>
    </row>
    <row r="395" spans="1:1">
      <c r="A395" s="589"/>
    </row>
    <row r="396" spans="1:1">
      <c r="A396" s="589"/>
    </row>
    <row r="397" spans="1:1">
      <c r="A397" s="589"/>
    </row>
    <row r="398" spans="1:1">
      <c r="A398" s="589"/>
    </row>
    <row r="399" spans="1:1">
      <c r="A399" s="589"/>
    </row>
    <row r="400" spans="1:1">
      <c r="A400" s="589"/>
    </row>
    <row r="401" spans="1:1">
      <c r="A401" s="589"/>
    </row>
    <row r="402" spans="1:1">
      <c r="A402" s="589"/>
    </row>
    <row r="403" spans="1:1">
      <c r="A403" s="589"/>
    </row>
    <row r="404" spans="1:1">
      <c r="A404" s="589"/>
    </row>
    <row r="405" spans="1:1">
      <c r="A405" s="589"/>
    </row>
    <row r="406" spans="1:1">
      <c r="A406" s="589"/>
    </row>
    <row r="407" spans="1:1">
      <c r="A407" s="589"/>
    </row>
    <row r="408" spans="1:1">
      <c r="A408" s="589"/>
    </row>
    <row r="409" spans="1:1">
      <c r="A409" s="589"/>
    </row>
    <row r="410" spans="1:1">
      <c r="A410" s="589"/>
    </row>
    <row r="411" spans="1:1">
      <c r="A411" s="589"/>
    </row>
    <row r="412" spans="1:1">
      <c r="A412" s="589"/>
    </row>
    <row r="413" spans="1:1">
      <c r="A413" s="589"/>
    </row>
    <row r="414" spans="1:1">
      <c r="A414" s="589"/>
    </row>
    <row r="415" spans="1:1">
      <c r="A415" s="589"/>
    </row>
    <row r="416" spans="1:1">
      <c r="A416" s="589"/>
    </row>
    <row r="417" spans="1:1">
      <c r="A417" s="589"/>
    </row>
    <row r="418" spans="1:1">
      <c r="A418" s="589"/>
    </row>
    <row r="419" spans="1:1">
      <c r="A419" s="589"/>
    </row>
    <row r="420" spans="1:1">
      <c r="A420" s="589"/>
    </row>
    <row r="421" spans="1:1">
      <c r="A421" s="589"/>
    </row>
    <row r="422" spans="1:1">
      <c r="A422" s="589"/>
    </row>
    <row r="423" spans="1:1">
      <c r="A423" s="589"/>
    </row>
    <row r="424" spans="1:1">
      <c r="A424" s="589"/>
    </row>
    <row r="425" spans="1:1">
      <c r="A425" s="589"/>
    </row>
    <row r="426" spans="1:1">
      <c r="A426" s="589"/>
    </row>
    <row r="427" spans="1:1">
      <c r="A427" s="589"/>
    </row>
    <row r="428" spans="1:1">
      <c r="A428" s="589"/>
    </row>
    <row r="429" spans="1:1">
      <c r="A429" s="589"/>
    </row>
    <row r="430" spans="1:1">
      <c r="A430" s="589"/>
    </row>
    <row r="431" spans="1:1">
      <c r="A431" s="589"/>
    </row>
    <row r="432" spans="1:1">
      <c r="A432" s="589"/>
    </row>
    <row r="433" spans="1:1">
      <c r="A433" s="589"/>
    </row>
    <row r="434" spans="1:1">
      <c r="A434" s="589"/>
    </row>
    <row r="435" spans="1:1">
      <c r="A435" s="589"/>
    </row>
    <row r="436" spans="1:1">
      <c r="A436" s="589"/>
    </row>
    <row r="437" spans="1:1">
      <c r="A437" s="589"/>
    </row>
    <row r="438" spans="1:1">
      <c r="A438" s="589"/>
    </row>
    <row r="439" spans="1:1">
      <c r="A439" s="589"/>
    </row>
    <row r="440" spans="1:1">
      <c r="A440" s="589"/>
    </row>
    <row r="441" spans="1:1">
      <c r="A441" s="589"/>
    </row>
    <row r="442" spans="1:1">
      <c r="A442" s="589"/>
    </row>
    <row r="443" spans="1:1">
      <c r="A443" s="589"/>
    </row>
    <row r="444" spans="1:1">
      <c r="A444" s="589"/>
    </row>
    <row r="445" spans="1:1">
      <c r="A445" s="589"/>
    </row>
    <row r="446" spans="1:1">
      <c r="A446" s="589"/>
    </row>
    <row r="447" spans="1:1">
      <c r="A447" s="589"/>
    </row>
    <row r="448" spans="1:1">
      <c r="A448" s="589"/>
    </row>
    <row r="449" spans="1:1">
      <c r="A449" s="589"/>
    </row>
    <row r="450" spans="1:1">
      <c r="A450" s="589"/>
    </row>
    <row r="451" spans="1:1">
      <c r="A451" s="589"/>
    </row>
    <row r="452" spans="1:1">
      <c r="A452" s="589"/>
    </row>
    <row r="453" spans="1:1">
      <c r="A453" s="589"/>
    </row>
    <row r="454" spans="1:1">
      <c r="A454" s="589"/>
    </row>
    <row r="455" spans="1:1">
      <c r="A455" s="589"/>
    </row>
    <row r="456" spans="1:1">
      <c r="A456" s="589"/>
    </row>
    <row r="457" spans="1:1">
      <c r="A457" s="589"/>
    </row>
    <row r="458" spans="1:1">
      <c r="A458" s="589"/>
    </row>
    <row r="459" spans="1:1">
      <c r="A459" s="589"/>
    </row>
    <row r="460" spans="1:1">
      <c r="A460" s="589"/>
    </row>
    <row r="461" spans="1:1">
      <c r="A461" s="589"/>
    </row>
    <row r="462" spans="1:1">
      <c r="A462" s="589"/>
    </row>
    <row r="463" spans="1:1">
      <c r="A463" s="589"/>
    </row>
    <row r="464" spans="1:1">
      <c r="A464" s="589"/>
    </row>
    <row r="465" spans="1:1">
      <c r="A465" s="589"/>
    </row>
    <row r="466" spans="1:1">
      <c r="A466" s="589"/>
    </row>
    <row r="467" spans="1:1">
      <c r="A467" s="589"/>
    </row>
    <row r="468" spans="1:1">
      <c r="A468" s="589"/>
    </row>
    <row r="469" spans="1:1">
      <c r="A469" s="589"/>
    </row>
    <row r="470" spans="1:1">
      <c r="A470" s="589"/>
    </row>
    <row r="471" spans="1:1">
      <c r="A471" s="589"/>
    </row>
    <row r="472" spans="1:1">
      <c r="A472" s="589"/>
    </row>
    <row r="473" spans="1:1">
      <c r="A473" s="589"/>
    </row>
    <row r="474" spans="1:1">
      <c r="A474" s="589"/>
    </row>
  </sheetData>
  <mergeCells count="15">
    <mergeCell ref="B92:D92"/>
    <mergeCell ref="E92:G92"/>
    <mergeCell ref="H92:J92"/>
    <mergeCell ref="A6:L6"/>
    <mergeCell ref="A8:A10"/>
    <mergeCell ref="B8:B10"/>
    <mergeCell ref="C8:C10"/>
    <mergeCell ref="D8:D10"/>
    <mergeCell ref="E8:H8"/>
    <mergeCell ref="I8:L8"/>
    <mergeCell ref="E9:E10"/>
    <mergeCell ref="F9:H9"/>
    <mergeCell ref="I9:I10"/>
    <mergeCell ref="J9:L9"/>
    <mergeCell ref="A83:D83"/>
  </mergeCells>
  <pageMargins left="0.7" right="0.7" top="0.75" bottom="0.75" header="0.3" footer="0.3"/>
  <pageSetup paperSize="9" scale="65" orientation="landscape" r:id="rId1"/>
</worksheet>
</file>

<file path=xl/worksheets/sheet12.xml><?xml version="1.0" encoding="utf-8"?>
<worksheet xmlns="http://schemas.openxmlformats.org/spreadsheetml/2006/main" xmlns:r="http://schemas.openxmlformats.org/officeDocument/2006/relationships">
  <dimension ref="A1:X609"/>
  <sheetViews>
    <sheetView topLeftCell="A32" workbookViewId="0">
      <selection activeCell="D39" sqref="D39"/>
    </sheetView>
  </sheetViews>
  <sheetFormatPr defaultRowHeight="15.75"/>
  <cols>
    <col min="1" max="1" width="6.42578125" style="240" customWidth="1"/>
    <col min="2" max="2" width="49.28515625" style="237" customWidth="1"/>
    <col min="3" max="3" width="16.7109375" style="415" customWidth="1"/>
    <col min="4" max="4" width="15.5703125" style="415" customWidth="1"/>
    <col min="5" max="5" width="21.85546875" style="238" customWidth="1"/>
    <col min="6" max="6" width="13.85546875" style="239" customWidth="1"/>
    <col min="7" max="7" width="43.140625" style="125" customWidth="1"/>
    <col min="8" max="8" width="21.7109375" style="319" customWidth="1"/>
    <col min="9" max="9" width="11.5703125" style="124" customWidth="1"/>
    <col min="10" max="10" width="23.7109375" style="124" customWidth="1"/>
    <col min="11" max="11" width="28.7109375" style="124" customWidth="1"/>
    <col min="12" max="12" width="15.7109375" style="124" customWidth="1"/>
    <col min="13" max="13" width="31.7109375" style="124" customWidth="1"/>
    <col min="14" max="24" width="9.140625" style="124"/>
    <col min="25" max="16384" width="9.140625" style="125"/>
  </cols>
  <sheetData>
    <row r="1" spans="1:24">
      <c r="A1" s="413"/>
      <c r="B1" s="414"/>
      <c r="E1" s="415"/>
      <c r="F1" s="416"/>
      <c r="G1" s="341"/>
    </row>
    <row r="2" spans="1:24">
      <c r="A2" s="413"/>
      <c r="B2" s="414"/>
      <c r="E2" s="415"/>
      <c r="F2" s="416"/>
      <c r="G2" s="341" t="s">
        <v>609</v>
      </c>
    </row>
    <row r="3" spans="1:24">
      <c r="A3" s="413"/>
      <c r="B3" s="414"/>
      <c r="E3" s="415"/>
      <c r="F3" s="416"/>
      <c r="G3" s="341" t="s">
        <v>610</v>
      </c>
    </row>
    <row r="4" spans="1:24">
      <c r="A4" s="413"/>
      <c r="B4" s="414"/>
      <c r="E4" s="415"/>
      <c r="F4" s="416"/>
      <c r="G4" s="341" t="s">
        <v>611</v>
      </c>
    </row>
    <row r="5" spans="1:24">
      <c r="A5" s="413"/>
      <c r="B5" s="414"/>
      <c r="E5" s="415"/>
      <c r="F5" s="416"/>
      <c r="G5" s="341" t="s">
        <v>612</v>
      </c>
    </row>
    <row r="6" spans="1:24">
      <c r="A6" s="413"/>
      <c r="B6" s="414"/>
      <c r="E6" s="415"/>
      <c r="F6" s="416"/>
      <c r="G6" s="341"/>
    </row>
    <row r="7" spans="1:24">
      <c r="A7" s="413"/>
      <c r="B7" s="414"/>
      <c r="E7" s="415"/>
      <c r="F7" s="416"/>
      <c r="G7" s="341"/>
    </row>
    <row r="8" spans="1:24">
      <c r="A8" s="1065" t="s">
        <v>187</v>
      </c>
      <c r="B8" s="1065"/>
      <c r="C8" s="1065"/>
      <c r="D8" s="1065"/>
      <c r="E8" s="1065"/>
      <c r="F8" s="1065"/>
      <c r="G8" s="1065"/>
    </row>
    <row r="9" spans="1:24">
      <c r="A9" s="1065" t="s">
        <v>615</v>
      </c>
      <c r="B9" s="1065"/>
      <c r="C9" s="1065"/>
      <c r="D9" s="1065"/>
      <c r="E9" s="1065"/>
      <c r="F9" s="1065"/>
      <c r="G9" s="1065"/>
    </row>
    <row r="10" spans="1:24">
      <c r="A10" s="413"/>
      <c r="B10" s="414"/>
      <c r="E10" s="415"/>
      <c r="F10" s="416"/>
      <c r="G10" s="341"/>
    </row>
    <row r="11" spans="1:24" s="126" customFormat="1">
      <c r="A11" s="1025" t="s">
        <v>26</v>
      </c>
      <c r="B11" s="1026" t="s">
        <v>188</v>
      </c>
      <c r="C11" s="1066" t="s">
        <v>189</v>
      </c>
      <c r="D11" s="1066"/>
      <c r="E11" s="1026" t="s">
        <v>190</v>
      </c>
      <c r="F11" s="1027" t="s">
        <v>191</v>
      </c>
      <c r="G11" s="1026" t="s">
        <v>192</v>
      </c>
      <c r="H11" s="319"/>
      <c r="I11" s="124"/>
      <c r="J11" s="124"/>
      <c r="K11" s="124"/>
      <c r="L11" s="124"/>
      <c r="M11" s="124"/>
      <c r="N11" s="124"/>
      <c r="O11" s="124"/>
      <c r="P11" s="124"/>
      <c r="Q11" s="124"/>
      <c r="R11" s="124"/>
      <c r="S11" s="124"/>
      <c r="T11" s="124"/>
      <c r="U11" s="124"/>
      <c r="V11" s="124"/>
      <c r="W11" s="124"/>
      <c r="X11" s="124"/>
    </row>
    <row r="12" spans="1:24" s="126" customFormat="1">
      <c r="A12" s="1025"/>
      <c r="B12" s="1026"/>
      <c r="C12" s="380" t="s">
        <v>193</v>
      </c>
      <c r="D12" s="380" t="s">
        <v>194</v>
      </c>
      <c r="E12" s="1026"/>
      <c r="F12" s="1027"/>
      <c r="G12" s="1026"/>
      <c r="H12" s="319"/>
      <c r="I12" s="124"/>
      <c r="J12" s="124"/>
      <c r="K12" s="124"/>
      <c r="L12" s="124"/>
      <c r="M12" s="124"/>
      <c r="N12" s="124"/>
      <c r="O12" s="124"/>
      <c r="P12" s="124"/>
      <c r="Q12" s="124"/>
      <c r="R12" s="124"/>
      <c r="S12" s="124"/>
      <c r="T12" s="124"/>
      <c r="U12" s="124"/>
      <c r="V12" s="124"/>
      <c r="W12" s="124"/>
      <c r="X12" s="124"/>
    </row>
    <row r="13" spans="1:24" s="126" customFormat="1">
      <c r="A13" s="535" t="s">
        <v>28</v>
      </c>
      <c r="B13" s="536">
        <v>2</v>
      </c>
      <c r="C13" s="379" t="s">
        <v>103</v>
      </c>
      <c r="D13" s="380">
        <v>4</v>
      </c>
      <c r="E13" s="535" t="s">
        <v>155</v>
      </c>
      <c r="F13" s="537">
        <v>6</v>
      </c>
      <c r="G13" s="535" t="s">
        <v>29</v>
      </c>
      <c r="H13" s="319"/>
      <c r="I13" s="124"/>
      <c r="J13" s="124"/>
      <c r="K13" s="124"/>
      <c r="L13" s="124"/>
      <c r="M13" s="124"/>
      <c r="N13" s="124"/>
      <c r="O13" s="124"/>
      <c r="P13" s="124"/>
      <c r="Q13" s="124"/>
      <c r="R13" s="124"/>
      <c r="S13" s="124"/>
      <c r="T13" s="124"/>
      <c r="U13" s="124"/>
      <c r="V13" s="124"/>
      <c r="W13" s="124"/>
      <c r="X13" s="124"/>
    </row>
    <row r="14" spans="1:24" ht="19.5" customHeight="1">
      <c r="A14" s="190">
        <v>1</v>
      </c>
      <c r="B14" s="1028" t="s">
        <v>48</v>
      </c>
      <c r="C14" s="1028"/>
      <c r="D14" s="1028"/>
      <c r="E14" s="1028"/>
      <c r="F14" s="1028"/>
      <c r="G14" s="1028"/>
    </row>
    <row r="15" spans="1:24" ht="57.75" customHeight="1">
      <c r="A15" s="197" t="s">
        <v>46</v>
      </c>
      <c r="B15" s="1013" t="s">
        <v>195</v>
      </c>
      <c r="C15" s="1014"/>
      <c r="D15" s="1014"/>
      <c r="E15" s="1014"/>
      <c r="F15" s="1014"/>
      <c r="G15" s="1014"/>
    </row>
    <row r="16" spans="1:24" s="341" customFormat="1" ht="31.5">
      <c r="A16" s="554"/>
      <c r="B16" s="337" t="s">
        <v>196</v>
      </c>
      <c r="C16" s="346">
        <f>'звіт ІІ кв'!E14</f>
        <v>12076.45</v>
      </c>
      <c r="D16" s="346">
        <f>'звіт ІІ кв'!I14</f>
        <v>4649.2897300000004</v>
      </c>
      <c r="E16" s="346">
        <f>D16-C16</f>
        <v>-7427.1602700000003</v>
      </c>
      <c r="F16" s="332">
        <f>D16/C16*100</f>
        <v>38.498811571281294</v>
      </c>
      <c r="G16" s="696" t="s">
        <v>817</v>
      </c>
      <c r="H16" s="340"/>
      <c r="I16" s="289"/>
      <c r="J16" s="289"/>
      <c r="K16" s="289"/>
      <c r="L16" s="289"/>
      <c r="M16" s="289"/>
      <c r="N16" s="289"/>
      <c r="O16" s="289"/>
      <c r="P16" s="289"/>
      <c r="Q16" s="289"/>
      <c r="R16" s="289"/>
      <c r="S16" s="289"/>
      <c r="T16" s="289"/>
      <c r="U16" s="289"/>
      <c r="V16" s="289"/>
      <c r="W16" s="289"/>
      <c r="X16" s="289"/>
    </row>
    <row r="17" spans="1:24" s="341" customFormat="1" ht="31.5">
      <c r="A17" s="554"/>
      <c r="B17" s="342" t="s">
        <v>197</v>
      </c>
      <c r="C17" s="332">
        <v>24000</v>
      </c>
      <c r="D17" s="332">
        <v>13718</v>
      </c>
      <c r="E17" s="332">
        <f>D17-C17</f>
        <v>-10282</v>
      </c>
      <c r="F17" s="332">
        <f>D17/C17*100</f>
        <v>57.158333333333331</v>
      </c>
      <c r="G17" s="696" t="s">
        <v>815</v>
      </c>
      <c r="H17" s="555">
        <f>D17+D22+D27</f>
        <v>27177</v>
      </c>
      <c r="I17" s="289"/>
      <c r="J17" s="289"/>
      <c r="K17" s="289"/>
      <c r="L17" s="289"/>
      <c r="M17" s="289"/>
      <c r="N17" s="289"/>
      <c r="O17" s="289"/>
      <c r="P17" s="289"/>
      <c r="Q17" s="289"/>
      <c r="R17" s="289"/>
      <c r="S17" s="289"/>
      <c r="T17" s="289"/>
      <c r="U17" s="289"/>
      <c r="V17" s="289"/>
      <c r="W17" s="289"/>
      <c r="X17" s="289"/>
    </row>
    <row r="18" spans="1:24" s="341" customFormat="1" ht="47.25">
      <c r="A18" s="554"/>
      <c r="B18" s="342" t="s">
        <v>198</v>
      </c>
      <c r="C18" s="330">
        <f>C16/C17</f>
        <v>0.50318541666666672</v>
      </c>
      <c r="D18" s="330">
        <f>D16/D17</f>
        <v>0.33891891893862081</v>
      </c>
      <c r="E18" s="391">
        <f>D18-C18</f>
        <v>-0.16426649772804591</v>
      </c>
      <c r="F18" s="332">
        <f>D18/C18*100</f>
        <v>67.354678357687064</v>
      </c>
      <c r="G18" s="696" t="s">
        <v>816</v>
      </c>
      <c r="H18" s="340"/>
      <c r="I18" s="289"/>
      <c r="J18" s="289"/>
      <c r="K18" s="289"/>
      <c r="L18" s="289"/>
      <c r="M18" s="289"/>
      <c r="N18" s="289"/>
      <c r="O18" s="289"/>
      <c r="P18" s="289"/>
      <c r="Q18" s="289"/>
      <c r="R18" s="289"/>
      <c r="S18" s="289"/>
      <c r="T18" s="289"/>
      <c r="U18" s="289"/>
      <c r="V18" s="289"/>
      <c r="W18" s="289"/>
      <c r="X18" s="289"/>
    </row>
    <row r="19" spans="1:24" s="341" customFormat="1" ht="63">
      <c r="A19" s="554"/>
      <c r="B19" s="342" t="s">
        <v>199</v>
      </c>
      <c r="C19" s="391">
        <v>69.364161849710982</v>
      </c>
      <c r="D19" s="391">
        <f>D17/34600*100</f>
        <v>39.647398843930638</v>
      </c>
      <c r="E19" s="391">
        <f>D19-C19</f>
        <v>-29.716763005780344</v>
      </c>
      <c r="F19" s="351">
        <f>D19/C19*100</f>
        <v>57.158333333333331</v>
      </c>
      <c r="G19" s="696" t="s">
        <v>815</v>
      </c>
      <c r="H19" s="340"/>
      <c r="I19" s="289"/>
      <c r="J19" s="289"/>
      <c r="K19" s="289"/>
      <c r="L19" s="289"/>
      <c r="M19" s="289"/>
      <c r="N19" s="289"/>
      <c r="O19" s="289"/>
      <c r="P19" s="289"/>
      <c r="Q19" s="289"/>
      <c r="R19" s="289"/>
      <c r="S19" s="289"/>
      <c r="T19" s="289"/>
      <c r="U19" s="289"/>
      <c r="V19" s="289"/>
      <c r="W19" s="289"/>
      <c r="X19" s="289"/>
    </row>
    <row r="20" spans="1:24" s="341" customFormat="1">
      <c r="A20" s="344"/>
      <c r="B20" s="1059" t="s">
        <v>200</v>
      </c>
      <c r="C20" s="1060"/>
      <c r="D20" s="1060"/>
      <c r="E20" s="1060"/>
      <c r="F20" s="1060"/>
      <c r="G20" s="1060"/>
      <c r="H20" s="340"/>
      <c r="I20" s="289"/>
      <c r="J20" s="289"/>
      <c r="K20" s="289"/>
      <c r="L20" s="289"/>
      <c r="M20" s="289"/>
      <c r="N20" s="289"/>
      <c r="O20" s="289"/>
      <c r="P20" s="289"/>
      <c r="Q20" s="289"/>
      <c r="R20" s="289"/>
      <c r="S20" s="289"/>
      <c r="T20" s="289"/>
      <c r="U20" s="289"/>
      <c r="V20" s="289"/>
      <c r="W20" s="289"/>
      <c r="X20" s="289"/>
    </row>
    <row r="21" spans="1:24" s="341" customFormat="1" ht="78.75">
      <c r="A21" s="344"/>
      <c r="B21" s="337" t="s">
        <v>196</v>
      </c>
      <c r="C21" s="346">
        <f>'звіт ІІ кв'!H15</f>
        <v>6662.29</v>
      </c>
      <c r="D21" s="346">
        <f>'звіт ІІ кв'!I15</f>
        <v>5467.7753499999999</v>
      </c>
      <c r="E21" s="346">
        <f>D21-C21</f>
        <v>-1194.5146500000001</v>
      </c>
      <c r="F21" s="339">
        <f>D21/C21*100</f>
        <v>82.070509539512699</v>
      </c>
      <c r="G21" s="443" t="s">
        <v>747</v>
      </c>
      <c r="H21" s="340"/>
      <c r="I21" s="289"/>
      <c r="J21" s="289"/>
      <c r="K21" s="289"/>
      <c r="L21" s="289"/>
      <c r="M21" s="289"/>
      <c r="N21" s="289"/>
      <c r="O21" s="289"/>
      <c r="P21" s="289"/>
      <c r="Q21" s="289"/>
      <c r="R21" s="289"/>
      <c r="S21" s="289"/>
      <c r="T21" s="289"/>
      <c r="U21" s="289"/>
      <c r="V21" s="289"/>
      <c r="W21" s="289"/>
      <c r="X21" s="289"/>
    </row>
    <row r="22" spans="1:24" s="341" customFormat="1" ht="31.5">
      <c r="A22" s="344"/>
      <c r="B22" s="342" t="s">
        <v>201</v>
      </c>
      <c r="C22" s="332">
        <v>17700</v>
      </c>
      <c r="D22" s="332">
        <v>9440</v>
      </c>
      <c r="E22" s="332">
        <f>D22-C22</f>
        <v>-8260</v>
      </c>
      <c r="F22" s="339">
        <f>D22/C22*100</f>
        <v>53.333333333333336</v>
      </c>
      <c r="G22" s="443" t="s">
        <v>744</v>
      </c>
      <c r="H22" s="340"/>
      <c r="I22" s="289"/>
      <c r="J22" s="289"/>
      <c r="K22" s="289"/>
      <c r="L22" s="289"/>
      <c r="M22" s="289"/>
      <c r="N22" s="289"/>
      <c r="O22" s="289"/>
      <c r="P22" s="289"/>
      <c r="Q22" s="289"/>
      <c r="R22" s="289"/>
      <c r="S22" s="289"/>
      <c r="T22" s="289"/>
      <c r="U22" s="289"/>
      <c r="V22" s="289"/>
      <c r="W22" s="289"/>
      <c r="X22" s="289"/>
    </row>
    <row r="23" spans="1:24" s="341" customFormat="1" ht="47.25">
      <c r="A23" s="344"/>
      <c r="B23" s="342" t="s">
        <v>202</v>
      </c>
      <c r="C23" s="391">
        <f>C21/C22</f>
        <v>0.37640056497175139</v>
      </c>
      <c r="D23" s="391">
        <f>D21/D22</f>
        <v>0.57921349046610171</v>
      </c>
      <c r="E23" s="517">
        <f>D23-C23</f>
        <v>0.20281292549435032</v>
      </c>
      <c r="F23" s="339">
        <f>D23/C23*100</f>
        <v>153.88220538658629</v>
      </c>
      <c r="G23" s="443" t="s">
        <v>744</v>
      </c>
      <c r="H23" s="340"/>
      <c r="I23" s="289"/>
      <c r="J23" s="289"/>
      <c r="K23" s="289"/>
      <c r="L23" s="289"/>
      <c r="M23" s="289"/>
      <c r="N23" s="289"/>
      <c r="O23" s="289"/>
      <c r="P23" s="289"/>
      <c r="Q23" s="289"/>
      <c r="R23" s="289"/>
      <c r="S23" s="289"/>
      <c r="T23" s="289"/>
      <c r="U23" s="289"/>
      <c r="V23" s="289"/>
      <c r="W23" s="289"/>
      <c r="X23" s="289"/>
    </row>
    <row r="24" spans="1:24" s="341" customFormat="1" ht="63">
      <c r="A24" s="344"/>
      <c r="B24" s="342" t="s">
        <v>203</v>
      </c>
      <c r="C24" s="330">
        <v>53.153153153153156</v>
      </c>
      <c r="D24" s="391">
        <f>D22/33300*100</f>
        <v>28.348348348348345</v>
      </c>
      <c r="E24" s="391">
        <f>D24-C24</f>
        <v>-24.80480480480481</v>
      </c>
      <c r="F24" s="339">
        <f>D24/C24*100</f>
        <v>53.333333333333321</v>
      </c>
      <c r="G24" s="443" t="s">
        <v>744</v>
      </c>
      <c r="H24" s="340"/>
      <c r="I24" s="289"/>
      <c r="J24" s="289"/>
      <c r="K24" s="289"/>
      <c r="L24" s="289"/>
      <c r="M24" s="289"/>
      <c r="N24" s="289"/>
      <c r="O24" s="289"/>
      <c r="P24" s="289"/>
      <c r="Q24" s="289"/>
      <c r="R24" s="289"/>
      <c r="S24" s="289"/>
      <c r="T24" s="289"/>
      <c r="U24" s="289"/>
      <c r="V24" s="289"/>
      <c r="W24" s="289"/>
      <c r="X24" s="289"/>
    </row>
    <row r="25" spans="1:24" s="341" customFormat="1">
      <c r="A25" s="344"/>
      <c r="B25" s="1050" t="s">
        <v>52</v>
      </c>
      <c r="C25" s="1050"/>
      <c r="D25" s="1050"/>
      <c r="E25" s="1050"/>
      <c r="F25" s="1050"/>
      <c r="G25" s="1051"/>
      <c r="H25" s="340"/>
      <c r="I25" s="289"/>
      <c r="J25" s="289"/>
      <c r="K25" s="289"/>
      <c r="L25" s="289"/>
      <c r="M25" s="289"/>
      <c r="N25" s="289"/>
      <c r="O25" s="289"/>
      <c r="P25" s="289"/>
      <c r="Q25" s="289"/>
      <c r="R25" s="289"/>
      <c r="S25" s="289"/>
      <c r="T25" s="289"/>
      <c r="U25" s="289"/>
      <c r="V25" s="289"/>
      <c r="W25" s="289"/>
      <c r="X25" s="289"/>
    </row>
    <row r="26" spans="1:24" s="341" customFormat="1" ht="31.5">
      <c r="A26" s="344"/>
      <c r="B26" s="337" t="s">
        <v>196</v>
      </c>
      <c r="C26" s="346">
        <f>'звіт ІІ кв'!E16</f>
        <v>4269.24</v>
      </c>
      <c r="D26" s="346">
        <f>'звіт ІІ кв'!I16</f>
        <v>1019.2973</v>
      </c>
      <c r="E26" s="338">
        <f>D26-C26</f>
        <v>-3249.9426999999996</v>
      </c>
      <c r="F26" s="339">
        <f>D26/C26*100</f>
        <v>23.875380629807648</v>
      </c>
      <c r="G26" s="443" t="s">
        <v>746</v>
      </c>
      <c r="H26" s="340"/>
      <c r="I26" s="289"/>
      <c r="J26" s="289"/>
      <c r="K26" s="289"/>
      <c r="L26" s="289"/>
      <c r="M26" s="289"/>
      <c r="N26" s="289"/>
      <c r="O26" s="289"/>
      <c r="P26" s="289"/>
      <c r="Q26" s="289"/>
      <c r="R26" s="289"/>
      <c r="S26" s="289"/>
      <c r="T26" s="289"/>
      <c r="U26" s="289"/>
      <c r="V26" s="289"/>
      <c r="W26" s="289"/>
      <c r="X26" s="289"/>
    </row>
    <row r="27" spans="1:24" s="341" customFormat="1" ht="31.5">
      <c r="A27" s="344"/>
      <c r="B27" s="337" t="s">
        <v>204</v>
      </c>
      <c r="C27" s="332">
        <v>6500</v>
      </c>
      <c r="D27" s="332">
        <v>4019</v>
      </c>
      <c r="E27" s="339">
        <f>D27-C27</f>
        <v>-2481</v>
      </c>
      <c r="F27" s="339">
        <f>D27/C27*100</f>
        <v>61.830769230769235</v>
      </c>
      <c r="G27" s="443" t="s">
        <v>744</v>
      </c>
      <c r="H27" s="340"/>
      <c r="I27" s="289"/>
      <c r="J27" s="289"/>
      <c r="K27" s="289"/>
      <c r="L27" s="289"/>
      <c r="M27" s="289"/>
      <c r="N27" s="289"/>
      <c r="O27" s="289"/>
      <c r="P27" s="289"/>
      <c r="Q27" s="289"/>
      <c r="R27" s="289"/>
      <c r="S27" s="289"/>
      <c r="T27" s="289"/>
      <c r="U27" s="289"/>
      <c r="V27" s="289"/>
      <c r="W27" s="289"/>
      <c r="X27" s="289"/>
    </row>
    <row r="28" spans="1:24" s="341" customFormat="1" ht="47.25">
      <c r="A28" s="344"/>
      <c r="B28" s="337" t="s">
        <v>205</v>
      </c>
      <c r="C28" s="391">
        <f>C26/C27</f>
        <v>0.65680615384615382</v>
      </c>
      <c r="D28" s="391">
        <f>D26/D27</f>
        <v>0.25361963174919133</v>
      </c>
      <c r="E28" s="514">
        <f>D28-C28</f>
        <v>-0.40318652209696249</v>
      </c>
      <c r="F28" s="339">
        <f>D28/C28*100</f>
        <v>38.614076659305724</v>
      </c>
      <c r="G28" s="443" t="s">
        <v>744</v>
      </c>
      <c r="H28" s="340"/>
      <c r="I28" s="289"/>
      <c r="J28" s="289"/>
      <c r="K28" s="289"/>
      <c r="L28" s="289"/>
      <c r="M28" s="289"/>
      <c r="N28" s="289"/>
      <c r="O28" s="289"/>
      <c r="P28" s="289"/>
      <c r="Q28" s="289"/>
      <c r="R28" s="289"/>
      <c r="S28" s="289"/>
      <c r="T28" s="289"/>
      <c r="U28" s="289"/>
      <c r="V28" s="289"/>
      <c r="W28" s="289"/>
      <c r="X28" s="289"/>
    </row>
    <row r="29" spans="1:24" s="341" customFormat="1" ht="63">
      <c r="A29" s="359"/>
      <c r="B29" s="337" t="s">
        <v>206</v>
      </c>
      <c r="C29" s="330">
        <v>61.479591836734691</v>
      </c>
      <c r="D29" s="391">
        <f>D27/10500*100</f>
        <v>38.276190476190472</v>
      </c>
      <c r="E29" s="514">
        <f>D29-C29</f>
        <v>-23.20340136054422</v>
      </c>
      <c r="F29" s="339">
        <f>D29/C29*100</f>
        <v>62.258367911479937</v>
      </c>
      <c r="G29" s="443" t="s">
        <v>744</v>
      </c>
      <c r="H29" s="340"/>
      <c r="I29" s="289"/>
      <c r="J29" s="289"/>
      <c r="K29" s="289"/>
      <c r="L29" s="289"/>
      <c r="M29" s="289"/>
      <c r="N29" s="289"/>
      <c r="O29" s="289"/>
      <c r="P29" s="289"/>
      <c r="Q29" s="289"/>
      <c r="R29" s="289"/>
      <c r="S29" s="289"/>
      <c r="T29" s="289"/>
      <c r="U29" s="289"/>
      <c r="V29" s="289"/>
      <c r="W29" s="289"/>
      <c r="X29" s="289"/>
    </row>
    <row r="30" spans="1:24" s="149" customFormat="1">
      <c r="A30" s="225" t="s">
        <v>247</v>
      </c>
      <c r="B30" s="1056" t="s">
        <v>248</v>
      </c>
      <c r="C30" s="1057"/>
      <c r="D30" s="1050"/>
      <c r="E30" s="1050"/>
      <c r="F30" s="1050"/>
      <c r="G30" s="1051"/>
      <c r="H30" s="319"/>
      <c r="I30" s="124"/>
      <c r="J30" s="124"/>
      <c r="K30" s="124"/>
      <c r="L30" s="124"/>
      <c r="M30" s="124"/>
      <c r="N30" s="124"/>
      <c r="O30" s="124"/>
      <c r="P30" s="124"/>
      <c r="Q30" s="124"/>
      <c r="R30" s="124"/>
      <c r="S30" s="124"/>
      <c r="T30" s="124"/>
      <c r="U30" s="124"/>
      <c r="V30" s="124"/>
      <c r="W30" s="124"/>
      <c r="X30" s="124"/>
    </row>
    <row r="31" spans="1:24" s="341" customFormat="1" ht="78.75">
      <c r="A31" s="556"/>
      <c r="B31" s="347" t="s">
        <v>249</v>
      </c>
      <c r="C31" s="330">
        <f>'звіт ІІ кв'!E17</f>
        <v>550</v>
      </c>
      <c r="D31" s="346">
        <f>'звіт ІІ кв'!I17</f>
        <v>704.00199999999995</v>
      </c>
      <c r="E31" s="523">
        <f>D31-C31</f>
        <v>154.00199999999995</v>
      </c>
      <c r="F31" s="332">
        <f>D31/C31*100</f>
        <v>128.00036363636363</v>
      </c>
      <c r="G31" s="443" t="s">
        <v>748</v>
      </c>
      <c r="H31" s="340"/>
      <c r="I31" s="289"/>
      <c r="J31" s="289"/>
      <c r="K31" s="289"/>
      <c r="L31" s="289"/>
      <c r="M31" s="289"/>
      <c r="N31" s="289"/>
      <c r="O31" s="289"/>
      <c r="P31" s="289"/>
      <c r="Q31" s="289"/>
      <c r="R31" s="289"/>
      <c r="S31" s="289"/>
      <c r="T31" s="289"/>
      <c r="U31" s="289"/>
      <c r="V31" s="289"/>
      <c r="W31" s="289"/>
      <c r="X31" s="289"/>
    </row>
    <row r="32" spans="1:24" s="341" customFormat="1" ht="47.25">
      <c r="A32" s="556"/>
      <c r="B32" s="349" t="s">
        <v>252</v>
      </c>
      <c r="C32" s="330">
        <v>50</v>
      </c>
      <c r="D32" s="391">
        <f>(D17+D22+D27)*100/78400</f>
        <v>34.664540816326529</v>
      </c>
      <c r="E32" s="391">
        <f>D32-C32</f>
        <v>-15.335459183673471</v>
      </c>
      <c r="F32" s="332">
        <f>D32/C32*100</f>
        <v>69.329081632653057</v>
      </c>
      <c r="G32" s="443" t="s">
        <v>749</v>
      </c>
      <c r="H32" s="340"/>
      <c r="I32" s="289"/>
      <c r="J32" s="289"/>
      <c r="K32" s="289"/>
      <c r="L32" s="289"/>
      <c r="M32" s="289"/>
      <c r="N32" s="289"/>
      <c r="O32" s="289"/>
      <c r="P32" s="289"/>
      <c r="Q32" s="289"/>
      <c r="R32" s="289"/>
      <c r="S32" s="289"/>
      <c r="T32" s="289"/>
      <c r="U32" s="289"/>
      <c r="V32" s="289"/>
      <c r="W32" s="289"/>
      <c r="X32" s="289"/>
    </row>
    <row r="33" spans="1:24" s="350" customFormat="1">
      <c r="A33" s="225" t="s">
        <v>253</v>
      </c>
      <c r="B33" s="1061" t="s">
        <v>54</v>
      </c>
      <c r="C33" s="1062"/>
      <c r="D33" s="1063"/>
      <c r="E33" s="1062"/>
      <c r="F33" s="1062"/>
      <c r="G33" s="1064"/>
      <c r="H33" s="340"/>
      <c r="I33" s="289"/>
      <c r="J33" s="289"/>
      <c r="K33" s="289"/>
      <c r="L33" s="289"/>
      <c r="M33" s="289"/>
      <c r="N33" s="289"/>
      <c r="O33" s="289"/>
      <c r="P33" s="289"/>
      <c r="Q33" s="289"/>
      <c r="R33" s="289"/>
      <c r="S33" s="289"/>
      <c r="T33" s="289"/>
      <c r="U33" s="289"/>
      <c r="V33" s="289"/>
      <c r="W33" s="289"/>
      <c r="X33" s="289"/>
    </row>
    <row r="34" spans="1:24" s="341" customFormat="1" ht="173.25">
      <c r="A34" s="556"/>
      <c r="B34" s="349" t="s">
        <v>254</v>
      </c>
      <c r="C34" s="318">
        <v>4</v>
      </c>
      <c r="D34" s="351">
        <v>4</v>
      </c>
      <c r="E34" s="412">
        <f>D34-C34</f>
        <v>0</v>
      </c>
      <c r="F34" s="332">
        <f>D34/C34*100</f>
        <v>100</v>
      </c>
      <c r="G34" s="443" t="s">
        <v>750</v>
      </c>
      <c r="H34" s="340"/>
      <c r="I34" s="289"/>
      <c r="J34" s="289"/>
      <c r="K34" s="289"/>
      <c r="L34" s="289"/>
      <c r="M34" s="289"/>
      <c r="N34" s="289"/>
      <c r="O34" s="289"/>
      <c r="P34" s="289"/>
      <c r="Q34" s="289"/>
      <c r="R34" s="289"/>
      <c r="S34" s="289"/>
      <c r="T34" s="289"/>
      <c r="U34" s="289"/>
      <c r="V34" s="289"/>
      <c r="W34" s="289"/>
      <c r="X34" s="289"/>
    </row>
    <row r="35" spans="1:24" s="341" customFormat="1" ht="47.25">
      <c r="A35" s="556"/>
      <c r="B35" s="349" t="s">
        <v>584</v>
      </c>
      <c r="C35" s="330">
        <v>61</v>
      </c>
      <c r="D35" s="391">
        <f>(D17+D22+D27)/78400*100</f>
        <v>34.664540816326529</v>
      </c>
      <c r="E35" s="391">
        <f>D35-C35</f>
        <v>-26.335459183673471</v>
      </c>
      <c r="F35" s="332">
        <f>D35/C35*100</f>
        <v>56.827116092338571</v>
      </c>
      <c r="G35" s="443" t="s">
        <v>751</v>
      </c>
      <c r="H35" s="340"/>
      <c r="I35" s="289"/>
      <c r="J35" s="289"/>
      <c r="K35" s="289"/>
      <c r="L35" s="289"/>
      <c r="M35" s="289"/>
      <c r="N35" s="289"/>
      <c r="O35" s="289"/>
      <c r="P35" s="289"/>
      <c r="Q35" s="289"/>
      <c r="R35" s="289"/>
      <c r="S35" s="289"/>
      <c r="T35" s="289"/>
      <c r="U35" s="289"/>
      <c r="V35" s="289"/>
      <c r="W35" s="289"/>
      <c r="X35" s="289"/>
    </row>
    <row r="36" spans="1:24" s="341" customFormat="1">
      <c r="A36" s="158" t="s">
        <v>66</v>
      </c>
      <c r="B36" s="1056" t="s">
        <v>55</v>
      </c>
      <c r="C36" s="1057"/>
      <c r="D36" s="1057"/>
      <c r="E36" s="1057"/>
      <c r="F36" s="1057"/>
      <c r="G36" s="1058"/>
      <c r="H36" s="340"/>
      <c r="I36" s="289"/>
      <c r="J36" s="289"/>
      <c r="K36" s="289"/>
      <c r="L36" s="289"/>
      <c r="M36" s="289"/>
      <c r="N36" s="289"/>
      <c r="O36" s="289"/>
      <c r="P36" s="289"/>
      <c r="Q36" s="289"/>
      <c r="R36" s="289"/>
      <c r="S36" s="289"/>
      <c r="T36" s="289"/>
      <c r="U36" s="289"/>
      <c r="V36" s="289"/>
      <c r="W36" s="289"/>
      <c r="X36" s="289"/>
    </row>
    <row r="37" spans="1:24" ht="47.25">
      <c r="A37" s="158"/>
      <c r="B37" s="539" t="s">
        <v>196</v>
      </c>
      <c r="C37" s="223">
        <f>'звіт ІІ кв'!E19</f>
        <v>1150</v>
      </c>
      <c r="D37" s="223">
        <f>'звіт ІІ кв'!I19</f>
        <v>251.65</v>
      </c>
      <c r="E37" s="222">
        <f>D37-C37</f>
        <v>-898.35</v>
      </c>
      <c r="F37" s="114">
        <f>D37/C37*100</f>
        <v>21.882608695652177</v>
      </c>
      <c r="G37" s="122" t="s">
        <v>752</v>
      </c>
    </row>
    <row r="38" spans="1:24" ht="35.25" customHeight="1">
      <c r="A38" s="137"/>
      <c r="B38" s="539" t="s">
        <v>207</v>
      </c>
      <c r="C38" s="117">
        <v>3</v>
      </c>
      <c r="D38" s="117">
        <v>2</v>
      </c>
      <c r="E38" s="114">
        <f>D38-C38</f>
        <v>-1</v>
      </c>
      <c r="F38" s="114">
        <f>D38/C38*100</f>
        <v>66.666666666666657</v>
      </c>
      <c r="G38" s="442" t="s">
        <v>751</v>
      </c>
    </row>
    <row r="39" spans="1:24" ht="47.25">
      <c r="A39" s="137"/>
      <c r="B39" s="539" t="s">
        <v>208</v>
      </c>
      <c r="C39" s="223">
        <f>C37/C38</f>
        <v>383.33333333333331</v>
      </c>
      <c r="D39" s="223">
        <f>D37/D38</f>
        <v>125.825</v>
      </c>
      <c r="E39" s="222">
        <f>D39-C39</f>
        <v>-257.50833333333333</v>
      </c>
      <c r="F39" s="114">
        <f>D39/C39*100</f>
        <v>32.823913043478264</v>
      </c>
      <c r="G39" s="122" t="s">
        <v>745</v>
      </c>
    </row>
    <row r="40" spans="1:24" ht="78.75">
      <c r="A40" s="268"/>
      <c r="B40" s="539" t="s">
        <v>209</v>
      </c>
      <c r="C40" s="284">
        <v>45</v>
      </c>
      <c r="D40" s="223">
        <f>3238/78400*100</f>
        <v>4.1301020408163271</v>
      </c>
      <c r="E40" s="222">
        <f>D40-C40</f>
        <v>-40.869897959183675</v>
      </c>
      <c r="F40" s="114">
        <f>D40/C40*100</f>
        <v>9.1780045351473944</v>
      </c>
      <c r="G40" s="122" t="s">
        <v>753</v>
      </c>
    </row>
    <row r="41" spans="1:24">
      <c r="A41" s="137" t="s">
        <v>256</v>
      </c>
      <c r="B41" s="999" t="s">
        <v>56</v>
      </c>
      <c r="C41" s="1000"/>
      <c r="D41" s="1000"/>
      <c r="E41" s="1000"/>
      <c r="F41" s="1000"/>
      <c r="G41" s="1001"/>
    </row>
    <row r="42" spans="1:24" ht="94.5">
      <c r="A42" s="158"/>
      <c r="B42" s="557" t="s">
        <v>257</v>
      </c>
      <c r="C42" s="203">
        <f>'звіт ІІ кв'!E20</f>
        <v>1950.8</v>
      </c>
      <c r="D42" s="203">
        <f>'звіт ІІ кв'!I20</f>
        <v>520.22299999999996</v>
      </c>
      <c r="E42" s="136">
        <f>D42-C42</f>
        <v>-1430.577</v>
      </c>
      <c r="F42" s="114">
        <f>D42/C42*100</f>
        <v>26.667162189870819</v>
      </c>
      <c r="G42" s="442" t="s">
        <v>754</v>
      </c>
      <c r="H42" s="558"/>
    </row>
    <row r="43" spans="1:24" ht="47.25">
      <c r="A43" s="137"/>
      <c r="B43" s="266" t="s">
        <v>258</v>
      </c>
      <c r="C43" s="191">
        <v>2430</v>
      </c>
      <c r="D43" s="559">
        <v>100</v>
      </c>
      <c r="E43" s="136">
        <f>D43-C43</f>
        <v>-2330</v>
      </c>
      <c r="F43" s="114">
        <f>D43/C43*100</f>
        <v>4.1152263374485596</v>
      </c>
      <c r="G43" s="442" t="s">
        <v>756</v>
      </c>
      <c r="H43" s="558"/>
    </row>
    <row r="44" spans="1:24" ht="94.5">
      <c r="A44" s="137"/>
      <c r="B44" s="266" t="s">
        <v>259</v>
      </c>
      <c r="C44" s="203">
        <f>C42/C43</f>
        <v>0.80279835390946497</v>
      </c>
      <c r="D44" s="182">
        <f>83.616/D43</f>
        <v>0.83616000000000001</v>
      </c>
      <c r="E44" s="145">
        <f>D44-C44</f>
        <v>3.3361646090535046E-2</v>
      </c>
      <c r="F44" s="114">
        <f>D44/C44*100</f>
        <v>104.15566946893584</v>
      </c>
      <c r="G44" s="122" t="s">
        <v>755</v>
      </c>
      <c r="H44" s="558"/>
    </row>
    <row r="45" spans="1:24" ht="63">
      <c r="A45" s="268"/>
      <c r="B45" s="266" t="s">
        <v>414</v>
      </c>
      <c r="C45" s="203">
        <v>7.3</v>
      </c>
      <c r="D45" s="560">
        <f>D43*100/33300</f>
        <v>0.3003003003003003</v>
      </c>
      <c r="E45" s="145">
        <f>D45-C45</f>
        <v>-6.9996996996996996</v>
      </c>
      <c r="F45" s="114">
        <f>D45/C45*100</f>
        <v>4.1137027438397302</v>
      </c>
      <c r="G45" s="442" t="s">
        <v>756</v>
      </c>
      <c r="H45" s="558"/>
    </row>
    <row r="46" spans="1:24" s="341" customFormat="1" ht="32.25" customHeight="1">
      <c r="A46" s="410" t="s">
        <v>261</v>
      </c>
      <c r="B46" s="1049" t="s">
        <v>57</v>
      </c>
      <c r="C46" s="1050"/>
      <c r="D46" s="1050"/>
      <c r="E46" s="1050"/>
      <c r="F46" s="1050"/>
      <c r="G46" s="1051"/>
      <c r="H46" s="340"/>
      <c r="I46" s="289"/>
      <c r="J46" s="289"/>
      <c r="K46" s="289"/>
      <c r="L46" s="289"/>
      <c r="M46" s="289"/>
      <c r="N46" s="289"/>
      <c r="O46" s="289"/>
      <c r="P46" s="289"/>
      <c r="Q46" s="289"/>
      <c r="R46" s="289"/>
      <c r="S46" s="289"/>
      <c r="T46" s="289"/>
      <c r="U46" s="289"/>
      <c r="V46" s="289"/>
      <c r="W46" s="289"/>
      <c r="X46" s="289"/>
    </row>
    <row r="47" spans="1:24" ht="78.75">
      <c r="A47" s="158"/>
      <c r="B47" s="266" t="s">
        <v>257</v>
      </c>
      <c r="C47" s="203">
        <f>'звіт ІІ кв'!E21</f>
        <v>635</v>
      </c>
      <c r="D47" s="219">
        <f>'звіт ІІ кв'!I21</f>
        <v>202.12226000000001</v>
      </c>
      <c r="E47" s="136">
        <f>D47-C47</f>
        <v>-432.87774000000002</v>
      </c>
      <c r="F47" s="114">
        <f>D47/C47*100</f>
        <v>31.830277165354332</v>
      </c>
      <c r="G47" s="442" t="s">
        <v>757</v>
      </c>
    </row>
    <row r="48" spans="1:24" ht="94.5">
      <c r="A48" s="137"/>
      <c r="B48" s="266" t="s">
        <v>262</v>
      </c>
      <c r="C48" s="191">
        <v>195</v>
      </c>
      <c r="D48" s="117">
        <v>111</v>
      </c>
      <c r="E48" s="136">
        <f>D48-C48</f>
        <v>-84</v>
      </c>
      <c r="F48" s="114">
        <f>D48/C48*100</f>
        <v>56.92307692307692</v>
      </c>
      <c r="G48" s="122" t="s">
        <v>722</v>
      </c>
      <c r="H48" s="558"/>
    </row>
    <row r="49" spans="1:24" ht="63">
      <c r="A49" s="137"/>
      <c r="B49" s="266" t="s">
        <v>263</v>
      </c>
      <c r="C49" s="203">
        <f>C47/C48</f>
        <v>3.2564102564102564</v>
      </c>
      <c r="D49" s="219">
        <f>D47/D48</f>
        <v>1.8209212612612613</v>
      </c>
      <c r="E49" s="145">
        <f>D49-C49</f>
        <v>-1.4354889951489951</v>
      </c>
      <c r="F49" s="114">
        <f>D49/C49*100</f>
        <v>55.918054479676528</v>
      </c>
      <c r="G49" s="122" t="s">
        <v>723</v>
      </c>
    </row>
    <row r="50" spans="1:24" ht="78.75">
      <c r="A50" s="268"/>
      <c r="B50" s="266" t="s">
        <v>580</v>
      </c>
      <c r="C50" s="203">
        <v>65</v>
      </c>
      <c r="D50" s="148">
        <f>D48/122*100</f>
        <v>90.983606557377044</v>
      </c>
      <c r="E50" s="145">
        <f>D50-C50</f>
        <v>25.983606557377044</v>
      </c>
      <c r="F50" s="114">
        <f>D50/C50*100</f>
        <v>139.9747793190416</v>
      </c>
      <c r="G50" s="442" t="s">
        <v>686</v>
      </c>
      <c r="H50" s="558"/>
    </row>
    <row r="51" spans="1:24" s="341" customFormat="1" ht="36.75" customHeight="1">
      <c r="A51" s="137" t="s">
        <v>265</v>
      </c>
      <c r="B51" s="999" t="s">
        <v>415</v>
      </c>
      <c r="C51" s="1000"/>
      <c r="D51" s="1000"/>
      <c r="E51" s="1000"/>
      <c r="F51" s="1000"/>
      <c r="G51" s="1001"/>
      <c r="H51" s="340"/>
      <c r="I51" s="289"/>
      <c r="J51" s="289"/>
      <c r="K51" s="289"/>
      <c r="L51" s="289"/>
      <c r="M51" s="289"/>
      <c r="N51" s="289"/>
      <c r="O51" s="289"/>
      <c r="P51" s="289"/>
      <c r="Q51" s="289"/>
      <c r="R51" s="289"/>
      <c r="S51" s="289"/>
      <c r="T51" s="289"/>
      <c r="U51" s="289"/>
      <c r="V51" s="289"/>
      <c r="W51" s="289"/>
      <c r="X51" s="289"/>
    </row>
    <row r="52" spans="1:24" ht="63">
      <c r="A52" s="158"/>
      <c r="B52" s="445" t="s">
        <v>196</v>
      </c>
      <c r="C52" s="203">
        <f>'звіт ІІ кв'!G24</f>
        <v>292.90000000000003</v>
      </c>
      <c r="D52" s="284">
        <f>'звіт ІІ кв'!K24</f>
        <v>173.78068999999999</v>
      </c>
      <c r="E52" s="203">
        <f>D52-C52</f>
        <v>-119.11931000000004</v>
      </c>
      <c r="F52" s="192">
        <f>D52/C52*100</f>
        <v>59.33106520996926</v>
      </c>
      <c r="G52" s="193" t="s">
        <v>758</v>
      </c>
      <c r="H52" s="562"/>
      <c r="I52" s="265"/>
    </row>
    <row r="53" spans="1:24" ht="47.25">
      <c r="A53" s="137"/>
      <c r="B53" s="267" t="s">
        <v>416</v>
      </c>
      <c r="C53" s="191">
        <v>5</v>
      </c>
      <c r="D53" s="191">
        <v>8</v>
      </c>
      <c r="E53" s="191">
        <f>D53-C53</f>
        <v>3</v>
      </c>
      <c r="F53" s="191">
        <f>D53/C53*100</f>
        <v>160</v>
      </c>
      <c r="G53" s="193" t="s">
        <v>400</v>
      </c>
      <c r="H53" s="562"/>
      <c r="I53" s="265"/>
    </row>
    <row r="54" spans="1:24" ht="31.5">
      <c r="A54" s="137"/>
      <c r="B54" s="267" t="s">
        <v>417</v>
      </c>
      <c r="C54" s="203">
        <f>C52/C53</f>
        <v>58.580000000000005</v>
      </c>
      <c r="D54" s="203">
        <f>D52/D53</f>
        <v>21.722586249999999</v>
      </c>
      <c r="E54" s="203">
        <f>D54-C54</f>
        <v>-36.857413750000006</v>
      </c>
      <c r="F54" s="147">
        <f>D54/C54*100</f>
        <v>37.081915756230792</v>
      </c>
      <c r="G54" s="193" t="s">
        <v>714</v>
      </c>
      <c r="H54" s="562"/>
      <c r="I54" s="265"/>
    </row>
    <row r="55" spans="1:24" ht="47.25">
      <c r="A55" s="137"/>
      <c r="B55" s="267" t="s">
        <v>418</v>
      </c>
      <c r="C55" s="191">
        <v>8</v>
      </c>
      <c r="D55" s="191">
        <v>3</v>
      </c>
      <c r="E55" s="191">
        <f>D55-C55</f>
        <v>-5</v>
      </c>
      <c r="F55" s="191">
        <f>D55/C55*100</f>
        <v>37.5</v>
      </c>
      <c r="G55" s="193" t="s">
        <v>400</v>
      </c>
      <c r="H55" s="562"/>
      <c r="I55" s="265"/>
    </row>
    <row r="56" spans="1:24" s="341" customFormat="1">
      <c r="A56" s="137"/>
      <c r="B56" s="529" t="s">
        <v>419</v>
      </c>
      <c r="C56" s="318"/>
      <c r="D56" s="431"/>
      <c r="E56" s="191"/>
      <c r="F56" s="191"/>
      <c r="G56" s="193"/>
      <c r="H56" s="340"/>
      <c r="I56" s="362"/>
      <c r="J56" s="289"/>
      <c r="K56" s="289"/>
      <c r="L56" s="289"/>
      <c r="M56" s="289"/>
      <c r="N56" s="289"/>
      <c r="O56" s="289"/>
      <c r="P56" s="289"/>
      <c r="Q56" s="289"/>
      <c r="R56" s="289"/>
      <c r="S56" s="289"/>
      <c r="T56" s="289"/>
      <c r="U56" s="289"/>
      <c r="V56" s="289"/>
      <c r="W56" s="289"/>
      <c r="X56" s="289"/>
    </row>
    <row r="57" spans="1:24" s="341" customFormat="1" ht="47.25">
      <c r="A57" s="344"/>
      <c r="B57" s="363" t="s">
        <v>420</v>
      </c>
      <c r="C57" s="108">
        <f>'звіт ІІ кв'!E26</f>
        <v>3623.29</v>
      </c>
      <c r="D57" s="330">
        <f>'звіт ІІ кв'!I26</f>
        <v>1954.04206</v>
      </c>
      <c r="E57" s="108">
        <f t="shared" ref="E57:E63" si="0">D57-C57</f>
        <v>-1669.24794</v>
      </c>
      <c r="F57" s="360">
        <f t="shared" ref="F57:F63" si="1">D57/C57*100</f>
        <v>53.930048657435648</v>
      </c>
      <c r="G57" s="193" t="s">
        <v>761</v>
      </c>
      <c r="H57" s="340"/>
      <c r="I57" s="362"/>
      <c r="J57" s="289"/>
      <c r="K57" s="289"/>
      <c r="L57" s="289"/>
      <c r="M57" s="289"/>
      <c r="N57" s="289"/>
      <c r="O57" s="289"/>
      <c r="P57" s="289"/>
      <c r="Q57" s="289"/>
      <c r="R57" s="289"/>
      <c r="S57" s="289"/>
      <c r="T57" s="289"/>
      <c r="U57" s="289"/>
      <c r="V57" s="289"/>
      <c r="W57" s="289"/>
      <c r="X57" s="289"/>
    </row>
    <row r="58" spans="1:24" ht="31.5">
      <c r="A58" s="137"/>
      <c r="B58" s="267" t="s">
        <v>421</v>
      </c>
      <c r="C58" s="191">
        <v>1650</v>
      </c>
      <c r="D58" s="191">
        <v>1143</v>
      </c>
      <c r="E58" s="284">
        <f t="shared" si="0"/>
        <v>-507</v>
      </c>
      <c r="F58" s="192">
        <f t="shared" si="1"/>
        <v>69.27272727272728</v>
      </c>
      <c r="G58" s="193" t="s">
        <v>762</v>
      </c>
      <c r="H58" s="558"/>
      <c r="I58" s="265"/>
    </row>
    <row r="59" spans="1:24" ht="31.5">
      <c r="A59" s="137"/>
      <c r="B59" s="267" t="s">
        <v>422</v>
      </c>
      <c r="C59" s="191">
        <v>1400</v>
      </c>
      <c r="D59" s="191">
        <v>621</v>
      </c>
      <c r="E59" s="191">
        <f t="shared" si="0"/>
        <v>-779</v>
      </c>
      <c r="F59" s="192">
        <f t="shared" si="1"/>
        <v>44.357142857142854</v>
      </c>
      <c r="G59" s="193" t="s">
        <v>763</v>
      </c>
      <c r="H59" s="558"/>
      <c r="I59" s="265"/>
    </row>
    <row r="60" spans="1:24" ht="110.25">
      <c r="A60" s="137"/>
      <c r="B60" s="267" t="s">
        <v>423</v>
      </c>
      <c r="C60" s="191">
        <v>0</v>
      </c>
      <c r="D60" s="191">
        <v>340</v>
      </c>
      <c r="E60" s="526">
        <f t="shared" si="0"/>
        <v>340</v>
      </c>
      <c r="F60" s="192">
        <v>435</v>
      </c>
      <c r="G60" s="193" t="s">
        <v>716</v>
      </c>
      <c r="H60" s="558"/>
      <c r="I60" s="265"/>
    </row>
    <row r="61" spans="1:24" ht="94.5">
      <c r="A61" s="137"/>
      <c r="B61" s="267" t="s">
        <v>424</v>
      </c>
      <c r="C61" s="191">
        <v>250</v>
      </c>
      <c r="D61" s="191">
        <v>0</v>
      </c>
      <c r="E61" s="191">
        <f t="shared" si="0"/>
        <v>-250</v>
      </c>
      <c r="F61" s="192">
        <f t="shared" si="1"/>
        <v>0</v>
      </c>
      <c r="G61" s="193" t="s">
        <v>687</v>
      </c>
      <c r="H61" s="558"/>
      <c r="I61" s="265"/>
    </row>
    <row r="62" spans="1:24" ht="78.75">
      <c r="A62" s="137"/>
      <c r="B62" s="267" t="s">
        <v>425</v>
      </c>
      <c r="C62" s="203">
        <f>C57/C58</f>
        <v>2.1959333333333335</v>
      </c>
      <c r="D62" s="203">
        <f>D57/961</f>
        <v>2.033342414151925</v>
      </c>
      <c r="E62" s="203">
        <f t="shared" si="0"/>
        <v>-0.16259091918140856</v>
      </c>
      <c r="F62" s="192">
        <f t="shared" si="1"/>
        <v>92.595817153765665</v>
      </c>
      <c r="G62" s="193" t="s">
        <v>715</v>
      </c>
      <c r="I62" s="265"/>
    </row>
    <row r="63" spans="1:24" ht="78.75">
      <c r="A63" s="268"/>
      <c r="B63" s="267" t="s">
        <v>426</v>
      </c>
      <c r="C63" s="203">
        <v>35</v>
      </c>
      <c r="D63" s="203">
        <f>D58/5782*100</f>
        <v>19.768246281563474</v>
      </c>
      <c r="E63" s="203">
        <f t="shared" si="0"/>
        <v>-15.231753718436526</v>
      </c>
      <c r="F63" s="192">
        <f t="shared" si="1"/>
        <v>56.480703661609923</v>
      </c>
      <c r="G63" s="193" t="s">
        <v>764</v>
      </c>
      <c r="H63" s="558"/>
      <c r="I63" s="265"/>
    </row>
    <row r="64" spans="1:24" s="341" customFormat="1">
      <c r="A64" s="344" t="s">
        <v>427</v>
      </c>
      <c r="B64" s="1049" t="s">
        <v>430</v>
      </c>
      <c r="C64" s="1050"/>
      <c r="D64" s="1050"/>
      <c r="E64" s="1050"/>
      <c r="F64" s="1050"/>
      <c r="G64" s="1051"/>
      <c r="H64" s="340"/>
      <c r="I64" s="289"/>
      <c r="J64" s="289"/>
      <c r="K64" s="289"/>
      <c r="L64" s="289"/>
      <c r="M64" s="289"/>
      <c r="N64" s="289"/>
      <c r="O64" s="289"/>
      <c r="P64" s="289"/>
      <c r="Q64" s="289"/>
      <c r="R64" s="289"/>
      <c r="S64" s="289"/>
      <c r="T64" s="289"/>
      <c r="U64" s="289"/>
      <c r="V64" s="289"/>
      <c r="W64" s="289"/>
      <c r="X64" s="289"/>
    </row>
    <row r="65" spans="1:24" s="341" customFormat="1" ht="47.25">
      <c r="A65" s="352"/>
      <c r="B65" s="353" t="s">
        <v>257</v>
      </c>
      <c r="C65" s="108">
        <f>'звіт ІІ кв'!E27</f>
        <v>4838.03</v>
      </c>
      <c r="D65" s="346">
        <f>'звіт ІІ кв'!I27</f>
        <v>2624.66644</v>
      </c>
      <c r="E65" s="364">
        <f>D65-C65</f>
        <v>-2213.3635599999998</v>
      </c>
      <c r="F65" s="339">
        <f>D65/C65*100</f>
        <v>54.250726845430883</v>
      </c>
      <c r="G65" s="193" t="s">
        <v>765</v>
      </c>
      <c r="H65" s="340"/>
      <c r="I65" s="289"/>
      <c r="J65" s="289"/>
      <c r="K65" s="289"/>
      <c r="L65" s="289"/>
      <c r="M65" s="289"/>
      <c r="N65" s="289"/>
      <c r="O65" s="289"/>
      <c r="P65" s="289"/>
      <c r="Q65" s="289"/>
      <c r="R65" s="289"/>
      <c r="S65" s="289"/>
      <c r="T65" s="289"/>
      <c r="U65" s="289"/>
      <c r="V65" s="289"/>
      <c r="W65" s="289"/>
      <c r="X65" s="289"/>
    </row>
    <row r="66" spans="1:24" s="341" customFormat="1" ht="34.5" customHeight="1">
      <c r="A66" s="344"/>
      <c r="B66" s="345" t="s">
        <v>72</v>
      </c>
      <c r="C66" s="432"/>
      <c r="D66" s="365"/>
      <c r="E66" s="343"/>
      <c r="F66" s="339"/>
      <c r="G66" s="366"/>
      <c r="H66" s="340"/>
      <c r="I66" s="289"/>
      <c r="J66" s="289"/>
      <c r="K66" s="289"/>
      <c r="L66" s="289"/>
      <c r="M66" s="289"/>
      <c r="N66" s="289"/>
      <c r="O66" s="289"/>
      <c r="P66" s="289"/>
      <c r="Q66" s="289"/>
      <c r="R66" s="289"/>
      <c r="S66" s="289"/>
      <c r="T66" s="289"/>
      <c r="U66" s="289"/>
      <c r="V66" s="289"/>
      <c r="W66" s="289"/>
      <c r="X66" s="289"/>
    </row>
    <row r="67" spans="1:24" ht="31.5">
      <c r="A67" s="137"/>
      <c r="B67" s="266" t="s">
        <v>434</v>
      </c>
      <c r="C67" s="191">
        <v>37500</v>
      </c>
      <c r="D67" s="117">
        <v>18944</v>
      </c>
      <c r="E67" s="186">
        <f>D67-C67</f>
        <v>-18556</v>
      </c>
      <c r="F67" s="114">
        <f>D67/C67*100</f>
        <v>50.517333333333333</v>
      </c>
      <c r="G67" s="193" t="s">
        <v>766</v>
      </c>
      <c r="H67" s="562"/>
    </row>
    <row r="68" spans="1:24" ht="47.25">
      <c r="A68" s="137"/>
      <c r="B68" s="540" t="s">
        <v>73</v>
      </c>
      <c r="C68" s="275"/>
      <c r="D68" s="275"/>
      <c r="E68" s="275"/>
      <c r="F68" s="275"/>
      <c r="G68" s="542"/>
    </row>
    <row r="69" spans="1:24" ht="78.75">
      <c r="A69" s="137"/>
      <c r="B69" s="428" t="s">
        <v>428</v>
      </c>
      <c r="C69" s="191">
        <v>300</v>
      </c>
      <c r="D69" s="117">
        <v>156</v>
      </c>
      <c r="E69" s="186">
        <f>D69-C69</f>
        <v>-144</v>
      </c>
      <c r="F69" s="114">
        <f>D69/C69*100</f>
        <v>52</v>
      </c>
      <c r="G69" s="193" t="s">
        <v>767</v>
      </c>
      <c r="H69" s="562"/>
    </row>
    <row r="70" spans="1:24" ht="63">
      <c r="A70" s="137"/>
      <c r="B70" s="269" t="s">
        <v>429</v>
      </c>
      <c r="C70" s="330">
        <v>5.72</v>
      </c>
      <c r="D70" s="391">
        <f>'звіт ІІ кв'!I29/'показники ІІ кв'!D69</f>
        <v>4.6559999999999997</v>
      </c>
      <c r="E70" s="417">
        <f>D70-C70</f>
        <v>-1.0640000000000001</v>
      </c>
      <c r="F70" s="114">
        <f>D70/C70*100</f>
        <v>81.3986013986014</v>
      </c>
      <c r="G70" s="193" t="s">
        <v>768</v>
      </c>
    </row>
    <row r="71" spans="1:24" ht="47.25">
      <c r="A71" s="137"/>
      <c r="B71" s="529" t="s">
        <v>74</v>
      </c>
      <c r="C71" s="368"/>
      <c r="D71" s="368"/>
      <c r="E71" s="275"/>
      <c r="F71" s="275"/>
      <c r="G71" s="533"/>
    </row>
    <row r="72" spans="1:24" ht="94.5">
      <c r="A72" s="137"/>
      <c r="B72" s="563" t="s">
        <v>431</v>
      </c>
      <c r="C72" s="191">
        <v>300</v>
      </c>
      <c r="D72" s="143">
        <v>99</v>
      </c>
      <c r="E72" s="236">
        <f>D72-C72</f>
        <v>-201</v>
      </c>
      <c r="F72" s="143">
        <f>D72/C72*100</f>
        <v>33</v>
      </c>
      <c r="G72" s="122" t="s">
        <v>725</v>
      </c>
      <c r="H72" s="558"/>
    </row>
    <row r="73" spans="1:24" ht="173.25">
      <c r="A73" s="268"/>
      <c r="B73" s="428" t="s">
        <v>579</v>
      </c>
      <c r="C73" s="191">
        <v>2.5</v>
      </c>
      <c r="D73" s="161" t="s">
        <v>653</v>
      </c>
      <c r="E73" s="148" t="s">
        <v>653</v>
      </c>
      <c r="F73" s="143" t="s">
        <v>653</v>
      </c>
      <c r="G73" s="122" t="s">
        <v>724</v>
      </c>
      <c r="H73" s="558"/>
    </row>
    <row r="74" spans="1:24" ht="39" customHeight="1">
      <c r="A74" s="137" t="s">
        <v>71</v>
      </c>
      <c r="B74" s="1033" t="s">
        <v>432</v>
      </c>
      <c r="C74" s="1034"/>
      <c r="D74" s="1034"/>
      <c r="E74" s="1034"/>
      <c r="F74" s="1034"/>
      <c r="G74" s="1035"/>
    </row>
    <row r="75" spans="1:24" s="341" customFormat="1" ht="31.5">
      <c r="A75" s="352"/>
      <c r="B75" s="356" t="s">
        <v>249</v>
      </c>
      <c r="C75" s="330">
        <f>'звіт ІІ кв'!E31</f>
        <v>300</v>
      </c>
      <c r="D75" s="365">
        <f>'звіт ІІ кв'!I31</f>
        <v>0</v>
      </c>
      <c r="E75" s="351">
        <f>D75-C75</f>
        <v>-300</v>
      </c>
      <c r="F75" s="332">
        <f>D75/C75*100</f>
        <v>0</v>
      </c>
      <c r="G75" s="326" t="s">
        <v>690</v>
      </c>
      <c r="H75" s="340"/>
      <c r="I75" s="289"/>
      <c r="J75" s="289"/>
      <c r="K75" s="289"/>
      <c r="L75" s="289"/>
      <c r="M75" s="289"/>
      <c r="N75" s="289"/>
      <c r="O75" s="289"/>
      <c r="P75" s="289"/>
      <c r="Q75" s="289"/>
      <c r="R75" s="289"/>
      <c r="S75" s="289"/>
      <c r="T75" s="289"/>
      <c r="U75" s="289"/>
      <c r="V75" s="289"/>
      <c r="W75" s="289"/>
      <c r="X75" s="289"/>
    </row>
    <row r="76" spans="1:24" ht="51.75" customHeight="1">
      <c r="A76" s="137"/>
      <c r="B76" s="266" t="s">
        <v>436</v>
      </c>
      <c r="C76" s="318">
        <v>120</v>
      </c>
      <c r="D76" s="332">
        <v>0</v>
      </c>
      <c r="E76" s="236">
        <f>D76-C76</f>
        <v>-120</v>
      </c>
      <c r="F76" s="143">
        <f>D76/C76*100</f>
        <v>0</v>
      </c>
      <c r="G76" s="326" t="s">
        <v>689</v>
      </c>
    </row>
    <row r="77" spans="1:24" ht="31.5">
      <c r="A77" s="137"/>
      <c r="B77" s="266" t="s">
        <v>293</v>
      </c>
      <c r="C77" s="330">
        <f>C75/C76</f>
        <v>2.5</v>
      </c>
      <c r="D77" s="365">
        <v>0</v>
      </c>
      <c r="E77" s="219">
        <f>D77-C77</f>
        <v>-2.5</v>
      </c>
      <c r="F77" s="143">
        <f>D77/C77*100</f>
        <v>0</v>
      </c>
      <c r="G77" s="326" t="s">
        <v>690</v>
      </c>
    </row>
    <row r="78" spans="1:24" ht="47.25">
      <c r="A78" s="268"/>
      <c r="B78" s="266" t="s">
        <v>435</v>
      </c>
      <c r="C78" s="318">
        <v>80</v>
      </c>
      <c r="D78" s="365" t="s">
        <v>653</v>
      </c>
      <c r="E78" s="236" t="s">
        <v>653</v>
      </c>
      <c r="F78" s="143" t="s">
        <v>653</v>
      </c>
      <c r="G78" s="326" t="s">
        <v>690</v>
      </c>
    </row>
    <row r="79" spans="1:24" s="341" customFormat="1">
      <c r="A79" s="378" t="s">
        <v>78</v>
      </c>
      <c r="B79" s="1080" t="s">
        <v>77</v>
      </c>
      <c r="C79" s="1081"/>
      <c r="D79" s="1081"/>
      <c r="E79" s="1081"/>
      <c r="F79" s="1081"/>
      <c r="G79" s="1082"/>
      <c r="H79" s="340"/>
      <c r="I79" s="289"/>
      <c r="J79" s="289"/>
      <c r="K79" s="289"/>
      <c r="L79" s="289"/>
      <c r="M79" s="289"/>
      <c r="N79" s="289"/>
      <c r="O79" s="289"/>
      <c r="P79" s="289"/>
      <c r="Q79" s="289"/>
      <c r="R79" s="289"/>
      <c r="S79" s="289"/>
      <c r="T79" s="289"/>
      <c r="U79" s="289"/>
      <c r="V79" s="289"/>
      <c r="W79" s="289"/>
      <c r="X79" s="289"/>
    </row>
    <row r="80" spans="1:24" ht="23.25" customHeight="1">
      <c r="A80" s="272" t="s">
        <v>296</v>
      </c>
      <c r="B80" s="999" t="s">
        <v>433</v>
      </c>
      <c r="C80" s="1000"/>
      <c r="D80" s="1000"/>
      <c r="E80" s="1000"/>
      <c r="F80" s="1000"/>
      <c r="G80" s="1001"/>
    </row>
    <row r="81" spans="1:24" ht="78.75">
      <c r="A81" s="272"/>
      <c r="B81" s="266" t="s">
        <v>439</v>
      </c>
      <c r="C81" s="284">
        <f>'звіт ІІ кв'!E33</f>
        <v>6080.38</v>
      </c>
      <c r="D81" s="284">
        <f>'звіт ІІ кв'!I33</f>
        <v>765.78710000000001</v>
      </c>
      <c r="E81" s="284">
        <f>D81-C81</f>
        <v>-5314.5928999999996</v>
      </c>
      <c r="F81" s="192">
        <f>D81/C81*100</f>
        <v>12.594395416075969</v>
      </c>
      <c r="G81" s="193" t="s">
        <v>770</v>
      </c>
    </row>
    <row r="82" spans="1:24" s="548" customFormat="1" ht="173.25">
      <c r="A82" s="274"/>
      <c r="B82" s="552" t="s">
        <v>726</v>
      </c>
      <c r="C82" s="191">
        <v>140000</v>
      </c>
      <c r="D82" s="191">
        <v>94796</v>
      </c>
      <c r="E82" s="191">
        <f t="shared" ref="E82:E96" si="2">D82-C82</f>
        <v>-45204</v>
      </c>
      <c r="F82" s="192">
        <f t="shared" ref="F82:F96" si="3">D82/C82*100</f>
        <v>67.71142857142857</v>
      </c>
      <c r="G82" s="442" t="s">
        <v>769</v>
      </c>
      <c r="H82" s="564"/>
      <c r="I82" s="547"/>
      <c r="J82" s="547"/>
      <c r="K82" s="547"/>
      <c r="L82" s="547"/>
      <c r="M82" s="547"/>
      <c r="N82" s="547"/>
      <c r="O82" s="547"/>
      <c r="P82" s="547"/>
      <c r="Q82" s="547"/>
      <c r="R82" s="547"/>
      <c r="S82" s="547"/>
      <c r="T82" s="547"/>
      <c r="U82" s="547"/>
      <c r="V82" s="547"/>
      <c r="W82" s="547"/>
      <c r="X82" s="547"/>
    </row>
    <row r="83" spans="1:24" s="548" customFormat="1" ht="141.75">
      <c r="A83" s="274"/>
      <c r="B83" s="552" t="s">
        <v>727</v>
      </c>
      <c r="C83" s="191">
        <v>3360</v>
      </c>
      <c r="D83" s="191">
        <v>1560</v>
      </c>
      <c r="E83" s="191">
        <f t="shared" si="2"/>
        <v>-1800</v>
      </c>
      <c r="F83" s="192">
        <f t="shared" si="3"/>
        <v>46.428571428571431</v>
      </c>
      <c r="G83" s="442" t="s">
        <v>728</v>
      </c>
      <c r="H83" s="564"/>
      <c r="I83" s="547"/>
      <c r="J83" s="547"/>
      <c r="K83" s="547"/>
      <c r="L83" s="547"/>
      <c r="M83" s="547"/>
      <c r="N83" s="547"/>
      <c r="O83" s="547"/>
      <c r="P83" s="547"/>
      <c r="Q83" s="547"/>
      <c r="R83" s="547"/>
      <c r="S83" s="547"/>
      <c r="T83" s="547"/>
      <c r="U83" s="547"/>
      <c r="V83" s="547"/>
      <c r="W83" s="547"/>
      <c r="X83" s="547"/>
    </row>
    <row r="84" spans="1:24" s="548" customFormat="1" ht="126">
      <c r="A84" s="274"/>
      <c r="B84" s="552" t="s">
        <v>772</v>
      </c>
      <c r="C84" s="203">
        <f>C81/C83</f>
        <v>1.8096369047619048</v>
      </c>
      <c r="D84" s="203" t="s">
        <v>653</v>
      </c>
      <c r="E84" s="203" t="s">
        <v>653</v>
      </c>
      <c r="F84" s="192" t="s">
        <v>653</v>
      </c>
      <c r="G84" s="442" t="s">
        <v>771</v>
      </c>
      <c r="H84" s="546"/>
      <c r="I84" s="547"/>
      <c r="J84" s="547"/>
      <c r="K84" s="547"/>
      <c r="L84" s="547"/>
      <c r="M84" s="547"/>
      <c r="N84" s="547"/>
      <c r="O84" s="547"/>
      <c r="P84" s="547"/>
      <c r="Q84" s="547"/>
      <c r="R84" s="547"/>
      <c r="S84" s="547"/>
      <c r="T84" s="547"/>
      <c r="U84" s="547"/>
      <c r="V84" s="547"/>
      <c r="W84" s="547"/>
      <c r="X84" s="547"/>
    </row>
    <row r="85" spans="1:24" ht="94.5">
      <c r="A85" s="274"/>
      <c r="B85" s="270" t="s">
        <v>441</v>
      </c>
      <c r="C85" s="330">
        <v>2.4</v>
      </c>
      <c r="D85" s="330">
        <f>D83/D82*100</f>
        <v>1.6456390565002743</v>
      </c>
      <c r="E85" s="203">
        <f t="shared" si="2"/>
        <v>-0.7543609434997256</v>
      </c>
      <c r="F85" s="192">
        <f t="shared" si="3"/>
        <v>68.56829402084476</v>
      </c>
      <c r="G85" s="122" t="s">
        <v>729</v>
      </c>
      <c r="H85" s="355"/>
    </row>
    <row r="86" spans="1:24" s="548" customFormat="1" ht="63">
      <c r="A86" s="273"/>
      <c r="B86" s="552" t="s">
        <v>773</v>
      </c>
      <c r="C86" s="191">
        <v>73.7</v>
      </c>
      <c r="D86" s="147">
        <f>D120*100/23100</f>
        <v>57.303030303030305</v>
      </c>
      <c r="E86" s="147">
        <f t="shared" si="2"/>
        <v>-16.396969696969698</v>
      </c>
      <c r="F86" s="192">
        <f t="shared" si="3"/>
        <v>77.751737181859298</v>
      </c>
      <c r="G86" s="442" t="s">
        <v>774</v>
      </c>
      <c r="H86" s="564"/>
      <c r="I86" s="547"/>
      <c r="J86" s="547"/>
      <c r="K86" s="547"/>
      <c r="L86" s="547"/>
      <c r="M86" s="547"/>
      <c r="N86" s="547"/>
      <c r="O86" s="547"/>
      <c r="P86" s="547"/>
      <c r="Q86" s="547"/>
      <c r="R86" s="547"/>
      <c r="S86" s="547"/>
      <c r="T86" s="547"/>
      <c r="U86" s="547"/>
      <c r="V86" s="547"/>
      <c r="W86" s="547"/>
      <c r="X86" s="547"/>
    </row>
    <row r="87" spans="1:24" s="198" customFormat="1" ht="31.5" customHeight="1">
      <c r="A87" s="274" t="s">
        <v>297</v>
      </c>
      <c r="B87" s="999" t="s">
        <v>443</v>
      </c>
      <c r="C87" s="1000"/>
      <c r="D87" s="1000"/>
      <c r="E87" s="1000"/>
      <c r="F87" s="1000"/>
      <c r="G87" s="1001"/>
      <c r="H87" s="319"/>
      <c r="I87" s="124"/>
      <c r="J87" s="124"/>
      <c r="K87" s="124"/>
      <c r="L87" s="124"/>
      <c r="M87" s="124"/>
      <c r="N87" s="124"/>
      <c r="O87" s="124"/>
      <c r="P87" s="124"/>
      <c r="Q87" s="124"/>
      <c r="R87" s="124"/>
      <c r="S87" s="124"/>
      <c r="T87" s="124"/>
      <c r="U87" s="124"/>
      <c r="V87" s="124"/>
      <c r="W87" s="124"/>
      <c r="X87" s="124"/>
    </row>
    <row r="88" spans="1:24" ht="31.5">
      <c r="A88" s="272"/>
      <c r="B88" s="428" t="s">
        <v>444</v>
      </c>
      <c r="C88" s="191">
        <v>12</v>
      </c>
      <c r="D88" s="191">
        <v>0</v>
      </c>
      <c r="E88" s="191">
        <f t="shared" si="2"/>
        <v>-12</v>
      </c>
      <c r="F88" s="192">
        <f t="shared" si="3"/>
        <v>0</v>
      </c>
      <c r="G88" s="442" t="s">
        <v>775</v>
      </c>
      <c r="H88" s="558"/>
    </row>
    <row r="89" spans="1:24" ht="63">
      <c r="A89" s="273"/>
      <c r="B89" s="270" t="s">
        <v>445</v>
      </c>
      <c r="C89" s="191"/>
      <c r="D89" s="201">
        <v>0</v>
      </c>
      <c r="E89" s="191">
        <f t="shared" si="2"/>
        <v>0</v>
      </c>
      <c r="F89" s="191">
        <v>0</v>
      </c>
      <c r="G89" s="442" t="s">
        <v>691</v>
      </c>
      <c r="H89" s="558"/>
    </row>
    <row r="90" spans="1:24" s="290" customFormat="1">
      <c r="A90" s="372" t="s">
        <v>298</v>
      </c>
      <c r="B90" s="1049" t="s">
        <v>446</v>
      </c>
      <c r="C90" s="1050"/>
      <c r="D90" s="1050"/>
      <c r="E90" s="1050"/>
      <c r="F90" s="1050"/>
      <c r="G90" s="1051"/>
      <c r="H90" s="340"/>
      <c r="I90" s="289"/>
      <c r="J90" s="289"/>
      <c r="K90" s="289"/>
      <c r="L90" s="289"/>
      <c r="M90" s="289"/>
      <c r="N90" s="289"/>
      <c r="O90" s="289"/>
      <c r="P90" s="289"/>
      <c r="Q90" s="289"/>
      <c r="R90" s="289"/>
      <c r="S90" s="289"/>
      <c r="T90" s="289"/>
      <c r="U90" s="289"/>
      <c r="V90" s="289"/>
      <c r="W90" s="289"/>
      <c r="X90" s="289"/>
    </row>
    <row r="91" spans="1:24" s="341" customFormat="1" ht="63">
      <c r="A91" s="376"/>
      <c r="B91" s="353" t="s">
        <v>249</v>
      </c>
      <c r="C91" s="108">
        <f>'звіт ІІ кв'!E35</f>
        <v>1111.3</v>
      </c>
      <c r="D91" s="108">
        <f>'звіт ІІ кв'!I35</f>
        <v>3190.4609599999999</v>
      </c>
      <c r="E91" s="108">
        <f t="shared" si="2"/>
        <v>2079.1609600000002</v>
      </c>
      <c r="F91" s="360">
        <f t="shared" si="3"/>
        <v>287.09268064429045</v>
      </c>
      <c r="G91" s="193" t="s">
        <v>784</v>
      </c>
      <c r="H91" s="340"/>
      <c r="I91" s="289"/>
      <c r="J91" s="289"/>
      <c r="K91" s="289"/>
      <c r="L91" s="289"/>
      <c r="M91" s="289"/>
      <c r="N91" s="289"/>
      <c r="O91" s="289"/>
      <c r="P91" s="289"/>
      <c r="Q91" s="289"/>
      <c r="R91" s="289"/>
      <c r="S91" s="289"/>
      <c r="T91" s="289"/>
      <c r="U91" s="289"/>
      <c r="V91" s="289"/>
      <c r="W91" s="289"/>
      <c r="X91" s="289"/>
    </row>
    <row r="92" spans="1:24" s="341" customFormat="1" ht="126">
      <c r="A92" s="377"/>
      <c r="B92" s="356" t="s">
        <v>314</v>
      </c>
      <c r="C92" s="318">
        <v>4820</v>
      </c>
      <c r="D92" s="318">
        <v>592</v>
      </c>
      <c r="E92" s="318">
        <f t="shared" si="2"/>
        <v>-4228</v>
      </c>
      <c r="F92" s="360">
        <f t="shared" si="3"/>
        <v>12.282157676348547</v>
      </c>
      <c r="G92" s="443" t="s">
        <v>717</v>
      </c>
      <c r="H92" s="355"/>
      <c r="I92" s="289"/>
      <c r="J92" s="289"/>
      <c r="K92" s="289"/>
      <c r="L92" s="289"/>
      <c r="M92" s="289"/>
      <c r="N92" s="289"/>
      <c r="O92" s="289"/>
      <c r="P92" s="289"/>
      <c r="Q92" s="289"/>
      <c r="R92" s="289"/>
      <c r="S92" s="289"/>
      <c r="T92" s="289"/>
      <c r="U92" s="289"/>
      <c r="V92" s="289"/>
      <c r="W92" s="289"/>
      <c r="X92" s="289"/>
    </row>
    <row r="93" spans="1:24" s="341" customFormat="1" ht="78.75">
      <c r="A93" s="377"/>
      <c r="B93" s="356" t="s">
        <v>315</v>
      </c>
      <c r="C93" s="318">
        <v>0.23</v>
      </c>
      <c r="D93" s="330" t="s">
        <v>653</v>
      </c>
      <c r="E93" s="330" t="s">
        <v>653</v>
      </c>
      <c r="F93" s="360" t="s">
        <v>653</v>
      </c>
      <c r="G93" s="443" t="s">
        <v>776</v>
      </c>
      <c r="H93" s="340"/>
      <c r="I93" s="289"/>
      <c r="J93" s="289"/>
      <c r="K93" s="289"/>
      <c r="L93" s="289"/>
      <c r="M93" s="289"/>
      <c r="N93" s="289"/>
      <c r="O93" s="289"/>
      <c r="P93" s="289"/>
      <c r="Q93" s="289"/>
      <c r="R93" s="289"/>
      <c r="S93" s="289"/>
      <c r="T93" s="289"/>
      <c r="U93" s="289"/>
      <c r="V93" s="289"/>
      <c r="W93" s="289"/>
      <c r="X93" s="289"/>
    </row>
    <row r="94" spans="1:24" s="341" customFormat="1" ht="47.25">
      <c r="A94" s="378"/>
      <c r="B94" s="353" t="s">
        <v>316</v>
      </c>
      <c r="C94" s="331">
        <v>10</v>
      </c>
      <c r="D94" s="331">
        <f>D92/21419*100</f>
        <v>2.7639012092067792</v>
      </c>
      <c r="E94" s="331">
        <f t="shared" si="2"/>
        <v>-7.2360987907932213</v>
      </c>
      <c r="F94" s="360">
        <f t="shared" si="3"/>
        <v>27.639012092067794</v>
      </c>
      <c r="G94" s="443" t="s">
        <v>730</v>
      </c>
      <c r="H94" s="355"/>
      <c r="I94" s="289"/>
      <c r="J94" s="289"/>
      <c r="K94" s="289"/>
      <c r="L94" s="289"/>
      <c r="M94" s="289"/>
      <c r="N94" s="289"/>
      <c r="O94" s="289"/>
      <c r="P94" s="289"/>
      <c r="Q94" s="289"/>
      <c r="R94" s="289"/>
      <c r="S94" s="289"/>
      <c r="T94" s="289"/>
      <c r="U94" s="289"/>
      <c r="V94" s="289"/>
      <c r="W94" s="289"/>
      <c r="X94" s="289"/>
    </row>
    <row r="95" spans="1:24" s="290" customFormat="1" ht="23.25" customHeight="1">
      <c r="A95" s="374" t="s">
        <v>299</v>
      </c>
      <c r="B95" s="1049" t="s">
        <v>447</v>
      </c>
      <c r="C95" s="1050"/>
      <c r="D95" s="1050"/>
      <c r="E95" s="1050"/>
      <c r="F95" s="1050"/>
      <c r="G95" s="1051"/>
      <c r="H95" s="340"/>
      <c r="I95" s="289"/>
      <c r="J95" s="289"/>
      <c r="K95" s="289"/>
      <c r="L95" s="289"/>
      <c r="M95" s="289"/>
      <c r="N95" s="289"/>
      <c r="O95" s="289"/>
      <c r="P95" s="289"/>
      <c r="Q95" s="289"/>
      <c r="R95" s="289"/>
      <c r="S95" s="289"/>
      <c r="T95" s="289"/>
      <c r="U95" s="289"/>
      <c r="V95" s="289"/>
      <c r="W95" s="289"/>
      <c r="X95" s="289"/>
    </row>
    <row r="96" spans="1:24" s="341" customFormat="1" ht="47.25">
      <c r="A96" s="379"/>
      <c r="B96" s="349" t="s">
        <v>317</v>
      </c>
      <c r="C96" s="318">
        <v>15</v>
      </c>
      <c r="D96" s="318">
        <v>2</v>
      </c>
      <c r="E96" s="318">
        <f t="shared" si="2"/>
        <v>-13</v>
      </c>
      <c r="F96" s="360">
        <f t="shared" si="3"/>
        <v>13.333333333333334</v>
      </c>
      <c r="G96" s="443" t="s">
        <v>400</v>
      </c>
      <c r="H96" s="355"/>
      <c r="I96" s="289"/>
      <c r="J96" s="289"/>
      <c r="K96" s="289"/>
      <c r="L96" s="289"/>
      <c r="M96" s="289"/>
      <c r="N96" s="289"/>
      <c r="O96" s="289"/>
      <c r="P96" s="289"/>
      <c r="Q96" s="289"/>
      <c r="R96" s="289"/>
      <c r="S96" s="289"/>
      <c r="T96" s="289"/>
      <c r="U96" s="289"/>
      <c r="V96" s="289"/>
      <c r="W96" s="289"/>
      <c r="X96" s="289"/>
    </row>
    <row r="97" spans="1:24" s="341" customFormat="1" ht="52.5" customHeight="1">
      <c r="A97" s="379"/>
      <c r="B97" s="349" t="s">
        <v>318</v>
      </c>
      <c r="C97" s="318" t="s">
        <v>653</v>
      </c>
      <c r="D97" s="318" t="s">
        <v>653</v>
      </c>
      <c r="E97" s="318" t="s">
        <v>653</v>
      </c>
      <c r="F97" s="318" t="s">
        <v>653</v>
      </c>
      <c r="G97" s="443" t="s">
        <v>694</v>
      </c>
      <c r="H97" s="355"/>
      <c r="I97" s="289"/>
      <c r="J97" s="289"/>
      <c r="K97" s="289"/>
      <c r="L97" s="289"/>
      <c r="M97" s="289"/>
      <c r="N97" s="289"/>
      <c r="O97" s="289"/>
      <c r="P97" s="289"/>
      <c r="Q97" s="289"/>
      <c r="R97" s="289"/>
      <c r="S97" s="289"/>
      <c r="T97" s="289"/>
      <c r="U97" s="289"/>
      <c r="V97" s="289"/>
      <c r="W97" s="289"/>
      <c r="X97" s="289"/>
    </row>
    <row r="98" spans="1:24" s="341" customFormat="1" ht="20.25" customHeight="1">
      <c r="A98" s="291" t="s">
        <v>306</v>
      </c>
      <c r="B98" s="1052" t="s">
        <v>448</v>
      </c>
      <c r="C98" s="1052"/>
      <c r="D98" s="1052"/>
      <c r="E98" s="1052"/>
      <c r="F98" s="1052"/>
      <c r="G98" s="1052"/>
      <c r="H98" s="340"/>
      <c r="I98" s="289"/>
      <c r="J98" s="289"/>
      <c r="K98" s="289"/>
      <c r="L98" s="289"/>
      <c r="M98" s="289"/>
      <c r="N98" s="289"/>
      <c r="O98" s="289"/>
      <c r="P98" s="289"/>
      <c r="Q98" s="289"/>
      <c r="R98" s="289"/>
      <c r="S98" s="289"/>
      <c r="T98" s="289"/>
      <c r="U98" s="289"/>
      <c r="V98" s="289"/>
      <c r="W98" s="289"/>
      <c r="X98" s="289"/>
    </row>
    <row r="99" spans="1:24" s="341" customFormat="1" ht="31.5">
      <c r="A99" s="392"/>
      <c r="B99" s="446" t="s">
        <v>673</v>
      </c>
      <c r="C99" s="330">
        <f>C101+C106</f>
        <v>539</v>
      </c>
      <c r="D99" s="108">
        <f>'звіт ІІ кв'!I40</f>
        <v>0</v>
      </c>
      <c r="E99" s="108">
        <f>D99-C99</f>
        <v>-539</v>
      </c>
      <c r="F99" s="360">
        <f>D99/C99*100</f>
        <v>0</v>
      </c>
      <c r="G99" s="443" t="s">
        <v>778</v>
      </c>
      <c r="H99" s="340"/>
      <c r="I99" s="289"/>
      <c r="J99" s="289"/>
      <c r="K99" s="289"/>
      <c r="L99" s="289"/>
      <c r="M99" s="289"/>
      <c r="N99" s="289"/>
      <c r="O99" s="289"/>
      <c r="P99" s="289"/>
      <c r="Q99" s="289"/>
      <c r="R99" s="289"/>
      <c r="S99" s="289"/>
      <c r="T99" s="289"/>
      <c r="U99" s="289"/>
      <c r="V99" s="289"/>
      <c r="W99" s="289"/>
      <c r="X99" s="289"/>
    </row>
    <row r="100" spans="1:24" s="341" customFormat="1">
      <c r="A100" s="381"/>
      <c r="B100" s="1051" t="s">
        <v>100</v>
      </c>
      <c r="C100" s="1052"/>
      <c r="D100" s="1052"/>
      <c r="E100" s="1052"/>
      <c r="F100" s="1052"/>
      <c r="G100" s="1052"/>
      <c r="H100" s="340"/>
      <c r="I100" s="289"/>
      <c r="J100" s="289"/>
      <c r="K100" s="289"/>
      <c r="L100" s="289"/>
      <c r="M100" s="289"/>
      <c r="N100" s="289"/>
      <c r="O100" s="289"/>
      <c r="P100" s="289"/>
      <c r="Q100" s="289"/>
      <c r="R100" s="289"/>
      <c r="S100" s="289"/>
      <c r="T100" s="289"/>
      <c r="U100" s="289"/>
      <c r="V100" s="289"/>
      <c r="W100" s="289"/>
      <c r="X100" s="289"/>
    </row>
    <row r="101" spans="1:24" s="551" customFormat="1" ht="47.25">
      <c r="A101" s="381"/>
      <c r="B101" s="363" t="s">
        <v>449</v>
      </c>
      <c r="C101" s="330">
        <v>488</v>
      </c>
      <c r="D101" s="330">
        <f>'звіт І кв'!I41</f>
        <v>0</v>
      </c>
      <c r="E101" s="330">
        <f>D101-C101</f>
        <v>-488</v>
      </c>
      <c r="F101" s="360">
        <v>0</v>
      </c>
      <c r="G101" s="443" t="s">
        <v>695</v>
      </c>
      <c r="H101" s="565"/>
      <c r="I101" s="550"/>
      <c r="J101" s="550"/>
      <c r="K101" s="550"/>
      <c r="L101" s="550"/>
      <c r="M101" s="550"/>
      <c r="N101" s="550"/>
      <c r="O101" s="550"/>
      <c r="P101" s="550"/>
      <c r="Q101" s="550"/>
      <c r="R101" s="550"/>
      <c r="S101" s="550"/>
      <c r="T101" s="550"/>
      <c r="U101" s="550"/>
      <c r="V101" s="550"/>
      <c r="W101" s="550"/>
      <c r="X101" s="550"/>
    </row>
    <row r="102" spans="1:24" s="551" customFormat="1" ht="63">
      <c r="A102" s="381"/>
      <c r="B102" s="363" t="s">
        <v>450</v>
      </c>
      <c r="C102" s="318">
        <v>400</v>
      </c>
      <c r="D102" s="318">
        <v>79</v>
      </c>
      <c r="E102" s="330">
        <f>D102-C102</f>
        <v>-321</v>
      </c>
      <c r="F102" s="360">
        <f>D102/C102*100</f>
        <v>19.75</v>
      </c>
      <c r="G102" s="443" t="s">
        <v>779</v>
      </c>
      <c r="H102" s="565"/>
      <c r="I102" s="550"/>
      <c r="J102" s="550"/>
      <c r="K102" s="550"/>
      <c r="L102" s="550"/>
      <c r="M102" s="550"/>
      <c r="N102" s="550"/>
      <c r="O102" s="550"/>
      <c r="P102" s="550"/>
      <c r="Q102" s="550"/>
      <c r="R102" s="550"/>
      <c r="S102" s="550"/>
      <c r="T102" s="550"/>
      <c r="U102" s="550"/>
      <c r="V102" s="550"/>
      <c r="W102" s="550"/>
      <c r="X102" s="550"/>
    </row>
    <row r="103" spans="1:24" s="551" customFormat="1" ht="47.25">
      <c r="A103" s="381"/>
      <c r="B103" s="363" t="s">
        <v>451</v>
      </c>
      <c r="C103" s="318">
        <f>C101/C102</f>
        <v>1.22</v>
      </c>
      <c r="D103" s="330" t="s">
        <v>653</v>
      </c>
      <c r="E103" s="330" t="s">
        <v>653</v>
      </c>
      <c r="F103" s="360" t="s">
        <v>653</v>
      </c>
      <c r="G103" s="443" t="s">
        <v>696</v>
      </c>
      <c r="H103" s="565"/>
      <c r="I103" s="550"/>
      <c r="J103" s="550"/>
      <c r="K103" s="550"/>
      <c r="L103" s="550"/>
      <c r="M103" s="550"/>
      <c r="N103" s="550"/>
      <c r="O103" s="550"/>
      <c r="P103" s="550"/>
      <c r="Q103" s="550"/>
      <c r="R103" s="550"/>
      <c r="S103" s="550"/>
      <c r="T103" s="550"/>
      <c r="U103" s="550"/>
      <c r="V103" s="550"/>
      <c r="W103" s="550"/>
      <c r="X103" s="550"/>
    </row>
    <row r="104" spans="1:24" s="551" customFormat="1" ht="47.25">
      <c r="A104" s="381"/>
      <c r="B104" s="363" t="s">
        <v>452</v>
      </c>
      <c r="C104" s="391">
        <v>86.1</v>
      </c>
      <c r="D104" s="336">
        <v>100</v>
      </c>
      <c r="E104" s="516">
        <f>D104-C104</f>
        <v>13.900000000000006</v>
      </c>
      <c r="F104" s="360">
        <f>D104/C104*100</f>
        <v>116.14401858304298</v>
      </c>
      <c r="G104" s="443" t="s">
        <v>582</v>
      </c>
      <c r="H104" s="549"/>
      <c r="I104" s="550"/>
      <c r="J104" s="550"/>
      <c r="K104" s="550"/>
      <c r="L104" s="550"/>
      <c r="M104" s="550"/>
      <c r="N104" s="550"/>
      <c r="O104" s="550"/>
      <c r="P104" s="550"/>
      <c r="Q104" s="550"/>
      <c r="R104" s="550"/>
      <c r="S104" s="550"/>
      <c r="T104" s="550"/>
      <c r="U104" s="550"/>
      <c r="V104" s="550"/>
      <c r="W104" s="550"/>
      <c r="X104" s="550"/>
    </row>
    <row r="105" spans="1:24" s="566" customFormat="1">
      <c r="A105" s="382"/>
      <c r="B105" s="1053" t="s">
        <v>101</v>
      </c>
      <c r="C105" s="1053"/>
      <c r="D105" s="1053"/>
      <c r="E105" s="1053"/>
      <c r="F105" s="1053"/>
      <c r="G105" s="1054"/>
      <c r="H105" s="565"/>
      <c r="I105" s="550"/>
      <c r="J105" s="550"/>
      <c r="K105" s="550"/>
      <c r="L105" s="550"/>
      <c r="M105" s="550"/>
      <c r="N105" s="550"/>
      <c r="O105" s="550"/>
      <c r="P105" s="550"/>
      <c r="Q105" s="550"/>
      <c r="R105" s="550"/>
      <c r="S105" s="550"/>
      <c r="T105" s="550"/>
      <c r="U105" s="550"/>
      <c r="V105" s="550"/>
      <c r="W105" s="550"/>
      <c r="X105" s="550"/>
    </row>
    <row r="106" spans="1:24" s="551" customFormat="1" ht="47.25">
      <c r="A106" s="381"/>
      <c r="B106" s="363" t="s">
        <v>453</v>
      </c>
      <c r="C106" s="346">
        <f>'звіт ІІ кв'!E42</f>
        <v>51</v>
      </c>
      <c r="D106" s="346">
        <f>'звіт ІІ кв'!L42</f>
        <v>0</v>
      </c>
      <c r="E106" s="332">
        <f>D106-C106</f>
        <v>-51</v>
      </c>
      <c r="F106" s="332">
        <f>D106/C106*100</f>
        <v>0</v>
      </c>
      <c r="G106" s="443" t="s">
        <v>711</v>
      </c>
      <c r="H106" s="565"/>
      <c r="I106" s="550"/>
      <c r="J106" s="550"/>
      <c r="K106" s="550"/>
      <c r="L106" s="550"/>
      <c r="M106" s="550"/>
      <c r="N106" s="550"/>
      <c r="O106" s="550"/>
      <c r="P106" s="550"/>
      <c r="Q106" s="550"/>
      <c r="R106" s="550"/>
      <c r="S106" s="550"/>
      <c r="T106" s="550"/>
      <c r="U106" s="550"/>
      <c r="V106" s="550"/>
      <c r="W106" s="550"/>
      <c r="X106" s="550"/>
    </row>
    <row r="107" spans="1:24" s="551" customFormat="1" ht="63">
      <c r="A107" s="381"/>
      <c r="B107" s="363" t="s">
        <v>454</v>
      </c>
      <c r="C107" s="336">
        <v>40</v>
      </c>
      <c r="D107" s="336">
        <v>195</v>
      </c>
      <c r="E107" s="567">
        <f>D107-C107</f>
        <v>155</v>
      </c>
      <c r="F107" s="332">
        <f>D107/C107*100</f>
        <v>487.5</v>
      </c>
      <c r="G107" s="443" t="s">
        <v>779</v>
      </c>
      <c r="H107" s="565"/>
      <c r="I107" s="550"/>
      <c r="J107" s="550"/>
      <c r="K107" s="550"/>
      <c r="L107" s="550"/>
      <c r="M107" s="550"/>
      <c r="N107" s="550"/>
      <c r="O107" s="550"/>
      <c r="P107" s="550"/>
      <c r="Q107" s="550"/>
      <c r="R107" s="550"/>
      <c r="S107" s="550"/>
      <c r="T107" s="550"/>
      <c r="U107" s="550"/>
      <c r="V107" s="550"/>
      <c r="W107" s="550"/>
      <c r="X107" s="550"/>
    </row>
    <row r="108" spans="1:24" s="551" customFormat="1" ht="47.25">
      <c r="A108" s="381"/>
      <c r="B108" s="363" t="s">
        <v>451</v>
      </c>
      <c r="C108" s="391">
        <f>C106/C107</f>
        <v>1.2749999999999999</v>
      </c>
      <c r="D108" s="391">
        <v>0</v>
      </c>
      <c r="E108" s="332">
        <v>0</v>
      </c>
      <c r="F108" s="332">
        <f>D108/C108*100</f>
        <v>0</v>
      </c>
      <c r="G108" s="443" t="s">
        <v>696</v>
      </c>
      <c r="H108" s="565"/>
      <c r="I108" s="550"/>
      <c r="J108" s="550"/>
      <c r="K108" s="550"/>
      <c r="L108" s="550"/>
      <c r="M108" s="550"/>
      <c r="N108" s="550"/>
      <c r="O108" s="550"/>
      <c r="P108" s="550"/>
      <c r="Q108" s="550"/>
      <c r="R108" s="550"/>
      <c r="S108" s="550"/>
      <c r="T108" s="550"/>
      <c r="U108" s="550"/>
      <c r="V108" s="550"/>
      <c r="W108" s="550"/>
      <c r="X108" s="550"/>
    </row>
    <row r="109" spans="1:24" s="551" customFormat="1" ht="63">
      <c r="A109" s="383"/>
      <c r="B109" s="363" t="s">
        <v>581</v>
      </c>
      <c r="C109" s="391">
        <v>53.9</v>
      </c>
      <c r="D109" s="336">
        <v>100</v>
      </c>
      <c r="E109" s="517">
        <f>D109-C109</f>
        <v>46.1</v>
      </c>
      <c r="F109" s="332">
        <f>D109/C109*100</f>
        <v>185.5287569573284</v>
      </c>
      <c r="G109" s="443" t="s">
        <v>657</v>
      </c>
      <c r="H109" s="549"/>
      <c r="I109" s="550"/>
      <c r="J109" s="550"/>
      <c r="K109" s="550"/>
      <c r="L109" s="550"/>
      <c r="M109" s="550"/>
      <c r="N109" s="550"/>
      <c r="O109" s="550"/>
      <c r="P109" s="550"/>
      <c r="Q109" s="550"/>
      <c r="R109" s="550"/>
      <c r="S109" s="550"/>
      <c r="T109" s="550"/>
      <c r="U109" s="550"/>
      <c r="V109" s="550"/>
      <c r="W109" s="550"/>
      <c r="X109" s="550"/>
    </row>
    <row r="110" spans="1:24" s="341" customFormat="1">
      <c r="A110" s="585" t="s">
        <v>103</v>
      </c>
      <c r="B110" s="1080" t="s">
        <v>102</v>
      </c>
      <c r="C110" s="1081"/>
      <c r="D110" s="1081"/>
      <c r="E110" s="1081"/>
      <c r="F110" s="1081"/>
      <c r="G110" s="1082"/>
      <c r="H110" s="340"/>
      <c r="I110" s="289"/>
      <c r="J110" s="289"/>
      <c r="K110" s="289"/>
      <c r="L110" s="289"/>
      <c r="M110" s="289"/>
      <c r="N110" s="289"/>
      <c r="O110" s="289"/>
      <c r="P110" s="289"/>
      <c r="Q110" s="289"/>
      <c r="R110" s="289"/>
      <c r="S110" s="289"/>
      <c r="T110" s="289"/>
      <c r="U110" s="289"/>
      <c r="V110" s="289"/>
      <c r="W110" s="289"/>
      <c r="X110" s="289"/>
    </row>
    <row r="111" spans="1:24" ht="33.75" customHeight="1">
      <c r="A111" s="212" t="s">
        <v>105</v>
      </c>
      <c r="B111" s="999" t="s">
        <v>455</v>
      </c>
      <c r="C111" s="1000"/>
      <c r="D111" s="1000"/>
      <c r="E111" s="1000"/>
      <c r="F111" s="1000"/>
      <c r="G111" s="1001"/>
    </row>
    <row r="112" spans="1:24" ht="47.25">
      <c r="A112" s="212"/>
      <c r="B112" s="529" t="s">
        <v>456</v>
      </c>
      <c r="C112" s="368"/>
      <c r="D112" s="368"/>
      <c r="E112" s="275"/>
      <c r="F112" s="275"/>
      <c r="G112" s="533"/>
    </row>
    <row r="113" spans="1:24" s="341" customFormat="1" ht="141.75">
      <c r="A113" s="382"/>
      <c r="B113" s="373" t="s">
        <v>457</v>
      </c>
      <c r="C113" s="108">
        <f>'звіт ІІ кв'!F45</f>
        <v>830.95</v>
      </c>
      <c r="D113" s="333">
        <f>'звіт ІІ кв'!J45</f>
        <v>322.15672000000001</v>
      </c>
      <c r="E113" s="330">
        <f t="shared" ref="E113:E121" si="4">D113-C113</f>
        <v>-508.79328000000004</v>
      </c>
      <c r="F113" s="360">
        <f t="shared" ref="F113:F121" si="5">D113/C113*100</f>
        <v>38.769687706841566</v>
      </c>
      <c r="G113" s="193" t="s">
        <v>780</v>
      </c>
      <c r="H113" s="340"/>
      <c r="I113" s="289"/>
      <c r="J113" s="289"/>
      <c r="K113" s="289"/>
      <c r="L113" s="289"/>
      <c r="M113" s="289"/>
      <c r="N113" s="289"/>
      <c r="O113" s="289"/>
      <c r="P113" s="289"/>
      <c r="Q113" s="289"/>
      <c r="R113" s="289"/>
      <c r="S113" s="289"/>
      <c r="T113" s="289"/>
      <c r="U113" s="289"/>
      <c r="V113" s="289"/>
      <c r="W113" s="289"/>
      <c r="X113" s="289"/>
    </row>
    <row r="114" spans="1:24" s="341" customFormat="1" ht="63">
      <c r="A114" s="382"/>
      <c r="B114" s="373" t="s">
        <v>458</v>
      </c>
      <c r="C114" s="318">
        <v>4800</v>
      </c>
      <c r="D114" s="375">
        <v>608</v>
      </c>
      <c r="E114" s="360">
        <f t="shared" si="4"/>
        <v>-4192</v>
      </c>
      <c r="F114" s="360">
        <f t="shared" si="5"/>
        <v>12.666666666666668</v>
      </c>
      <c r="G114" s="442" t="s">
        <v>731</v>
      </c>
      <c r="H114" s="355"/>
      <c r="I114" s="289"/>
      <c r="J114" s="289"/>
      <c r="K114" s="289"/>
      <c r="L114" s="289"/>
      <c r="M114" s="289"/>
      <c r="N114" s="289"/>
      <c r="O114" s="289"/>
      <c r="P114" s="289"/>
      <c r="Q114" s="289"/>
      <c r="R114" s="289"/>
      <c r="S114" s="289"/>
      <c r="T114" s="289"/>
      <c r="U114" s="289"/>
      <c r="V114" s="289"/>
      <c r="W114" s="289"/>
      <c r="X114" s="289"/>
    </row>
    <row r="115" spans="1:24" s="341" customFormat="1" ht="126">
      <c r="A115" s="382"/>
      <c r="B115" s="373" t="s">
        <v>459</v>
      </c>
      <c r="C115" s="330">
        <f>'звіт ІІ кв'!G45</f>
        <v>878.79480000000001</v>
      </c>
      <c r="D115" s="330">
        <f>'звіт ІІ кв'!K45</f>
        <v>0</v>
      </c>
      <c r="E115" s="330">
        <f t="shared" si="4"/>
        <v>-878.79480000000001</v>
      </c>
      <c r="F115" s="360">
        <f t="shared" si="5"/>
        <v>0</v>
      </c>
      <c r="G115" s="193" t="s">
        <v>781</v>
      </c>
      <c r="H115" s="340"/>
      <c r="I115" s="289"/>
      <c r="J115" s="289"/>
      <c r="K115" s="289"/>
      <c r="L115" s="289"/>
      <c r="M115" s="289"/>
      <c r="N115" s="289"/>
      <c r="O115" s="289"/>
      <c r="P115" s="289"/>
      <c r="Q115" s="289"/>
      <c r="R115" s="289"/>
      <c r="S115" s="289"/>
      <c r="T115" s="289"/>
      <c r="U115" s="289"/>
      <c r="V115" s="289"/>
      <c r="W115" s="289"/>
      <c r="X115" s="289"/>
    </row>
    <row r="116" spans="1:24" s="341" customFormat="1" ht="63">
      <c r="A116" s="382"/>
      <c r="B116" s="373" t="s">
        <v>460</v>
      </c>
      <c r="C116" s="360">
        <v>3360</v>
      </c>
      <c r="D116" s="360">
        <v>1218</v>
      </c>
      <c r="E116" s="360">
        <f t="shared" si="4"/>
        <v>-2142</v>
      </c>
      <c r="F116" s="360">
        <f t="shared" si="5"/>
        <v>36.25</v>
      </c>
      <c r="G116" s="442" t="s">
        <v>731</v>
      </c>
      <c r="H116" s="355"/>
      <c r="I116" s="289"/>
      <c r="J116" s="289"/>
      <c r="K116" s="289"/>
      <c r="L116" s="289"/>
      <c r="M116" s="289"/>
      <c r="N116" s="289"/>
      <c r="O116" s="289"/>
      <c r="P116" s="289"/>
      <c r="Q116" s="289"/>
      <c r="R116" s="289"/>
      <c r="S116" s="289"/>
      <c r="T116" s="289"/>
      <c r="U116" s="289"/>
      <c r="V116" s="289"/>
      <c r="W116" s="289"/>
      <c r="X116" s="289"/>
    </row>
    <row r="117" spans="1:24" ht="78.75">
      <c r="A117" s="208"/>
      <c r="B117" s="270" t="s">
        <v>461</v>
      </c>
      <c r="C117" s="192">
        <v>2800</v>
      </c>
      <c r="D117" s="192">
        <v>931</v>
      </c>
      <c r="E117" s="192">
        <f t="shared" si="4"/>
        <v>-1869</v>
      </c>
      <c r="F117" s="192">
        <f t="shared" si="5"/>
        <v>33.25</v>
      </c>
      <c r="G117" s="442" t="s">
        <v>718</v>
      </c>
      <c r="H117" s="558"/>
    </row>
    <row r="118" spans="1:24" ht="31.5">
      <c r="A118" s="208"/>
      <c r="B118" s="270" t="s">
        <v>462</v>
      </c>
      <c r="C118" s="203">
        <f>(C113+C115)/C117</f>
        <v>0.61062314285714281</v>
      </c>
      <c r="D118" s="203">
        <f>(D113+D115)/D117</f>
        <v>0.34603299677765842</v>
      </c>
      <c r="E118" s="203">
        <f t="shared" si="4"/>
        <v>-0.26459014607948439</v>
      </c>
      <c r="F118" s="192">
        <f t="shared" si="5"/>
        <v>56.668830984451226</v>
      </c>
      <c r="G118" s="122" t="s">
        <v>714</v>
      </c>
    </row>
    <row r="119" spans="1:24" s="548" customFormat="1" ht="78.75">
      <c r="A119" s="208"/>
      <c r="B119" s="552" t="s">
        <v>733</v>
      </c>
      <c r="C119" s="147">
        <v>83</v>
      </c>
      <c r="D119" s="147">
        <f>D117/1826*100</f>
        <v>50.985761226725081</v>
      </c>
      <c r="E119" s="147">
        <f t="shared" si="4"/>
        <v>-32.014238773274919</v>
      </c>
      <c r="F119" s="192">
        <f t="shared" si="5"/>
        <v>61.428627984006127</v>
      </c>
      <c r="G119" s="442" t="s">
        <v>732</v>
      </c>
      <c r="H119" s="546"/>
      <c r="I119" s="547"/>
      <c r="J119" s="547"/>
      <c r="K119" s="547"/>
      <c r="L119" s="547"/>
      <c r="M119" s="547"/>
      <c r="N119" s="547"/>
      <c r="O119" s="547"/>
      <c r="P119" s="547"/>
      <c r="Q119" s="547"/>
      <c r="R119" s="547"/>
      <c r="S119" s="547"/>
      <c r="T119" s="547"/>
      <c r="U119" s="547"/>
      <c r="V119" s="547"/>
      <c r="W119" s="547"/>
      <c r="X119" s="547"/>
    </row>
    <row r="120" spans="1:24" ht="63">
      <c r="A120" s="208"/>
      <c r="B120" s="270" t="s">
        <v>464</v>
      </c>
      <c r="C120" s="192">
        <v>17900</v>
      </c>
      <c r="D120" s="192">
        <v>13237</v>
      </c>
      <c r="E120" s="192">
        <f t="shared" si="4"/>
        <v>-4663</v>
      </c>
      <c r="F120" s="192">
        <f t="shared" si="5"/>
        <v>73.949720670391059</v>
      </c>
      <c r="G120" s="442" t="s">
        <v>734</v>
      </c>
    </row>
    <row r="121" spans="1:24" ht="63">
      <c r="A121" s="208"/>
      <c r="B121" s="270" t="s">
        <v>465</v>
      </c>
      <c r="C121" s="147">
        <v>73.7</v>
      </c>
      <c r="D121" s="147">
        <f>D120*100/23100</f>
        <v>57.303030303030305</v>
      </c>
      <c r="E121" s="147">
        <f t="shared" si="4"/>
        <v>-16.396969696969698</v>
      </c>
      <c r="F121" s="147">
        <f t="shared" si="5"/>
        <v>77.751737181859298</v>
      </c>
      <c r="G121" s="442" t="s">
        <v>734</v>
      </c>
    </row>
    <row r="122" spans="1:24" ht="51.75" customHeight="1">
      <c r="A122" s="208"/>
      <c r="B122" s="531" t="s">
        <v>466</v>
      </c>
      <c r="C122" s="357"/>
      <c r="D122" s="357"/>
      <c r="E122" s="203"/>
      <c r="F122" s="192"/>
      <c r="G122" s="122"/>
      <c r="I122" s="277"/>
      <c r="J122" s="277"/>
      <c r="K122" s="277"/>
      <c r="L122" s="277"/>
      <c r="M122" s="277"/>
      <c r="N122" s="277"/>
      <c r="O122" s="277"/>
      <c r="P122" s="277"/>
      <c r="Q122" s="277"/>
      <c r="R122" s="277"/>
      <c r="S122" s="277"/>
      <c r="T122" s="277"/>
      <c r="U122" s="277"/>
      <c r="V122" s="277"/>
      <c r="W122" s="277"/>
      <c r="X122" s="277"/>
    </row>
    <row r="123" spans="1:24" ht="157.5">
      <c r="A123" s="208"/>
      <c r="B123" s="270" t="s">
        <v>467</v>
      </c>
      <c r="C123" s="203"/>
      <c r="D123" s="192">
        <v>195</v>
      </c>
      <c r="E123" s="561">
        <f>D123-C123</f>
        <v>195</v>
      </c>
      <c r="F123" s="192">
        <v>100</v>
      </c>
      <c r="G123" s="442" t="s">
        <v>759</v>
      </c>
    </row>
    <row r="124" spans="1:24" s="548" customFormat="1" ht="78.75">
      <c r="A124" s="208"/>
      <c r="B124" s="552" t="s">
        <v>735</v>
      </c>
      <c r="C124" s="147">
        <v>60</v>
      </c>
      <c r="D124" s="147">
        <f>D123*100/441</f>
        <v>44.217687074829932</v>
      </c>
      <c r="E124" s="147">
        <f>D124-C124</f>
        <v>-15.782312925170068</v>
      </c>
      <c r="F124" s="147">
        <f>D124/C124*100</f>
        <v>73.696145124716551</v>
      </c>
      <c r="G124" s="442" t="s">
        <v>736</v>
      </c>
      <c r="H124" s="546"/>
      <c r="I124" s="547"/>
      <c r="J124" s="547"/>
      <c r="K124" s="547"/>
      <c r="L124" s="547"/>
      <c r="M124" s="547"/>
      <c r="N124" s="547"/>
      <c r="O124" s="547"/>
      <c r="P124" s="547"/>
      <c r="Q124" s="547"/>
      <c r="R124" s="547"/>
      <c r="S124" s="547"/>
      <c r="T124" s="547"/>
      <c r="U124" s="547"/>
      <c r="V124" s="547"/>
      <c r="W124" s="547"/>
      <c r="X124" s="547"/>
    </row>
    <row r="125" spans="1:24" ht="31.5">
      <c r="A125" s="208"/>
      <c r="B125" s="530" t="s">
        <v>569</v>
      </c>
      <c r="C125" s="357"/>
      <c r="D125" s="357"/>
      <c r="E125" s="192"/>
      <c r="F125" s="192"/>
      <c r="G125" s="122"/>
    </row>
    <row r="126" spans="1:24" s="548" customFormat="1" ht="204.75">
      <c r="A126" s="208"/>
      <c r="B126" s="552" t="s">
        <v>737</v>
      </c>
      <c r="C126" s="192">
        <v>1344</v>
      </c>
      <c r="D126" s="192">
        <v>23</v>
      </c>
      <c r="E126" s="192">
        <f>D126-C126</f>
        <v>-1321</v>
      </c>
      <c r="F126" s="147">
        <f>D126/C126*100</f>
        <v>1.7113095238095239</v>
      </c>
      <c r="G126" s="442" t="s">
        <v>739</v>
      </c>
      <c r="H126" s="546"/>
      <c r="I126" s="547"/>
      <c r="J126" s="547"/>
      <c r="K126" s="547"/>
      <c r="L126" s="547"/>
      <c r="M126" s="547"/>
      <c r="N126" s="547"/>
      <c r="O126" s="547"/>
      <c r="P126" s="547"/>
      <c r="Q126" s="547"/>
      <c r="R126" s="547"/>
      <c r="S126" s="547"/>
      <c r="T126" s="547"/>
      <c r="U126" s="547"/>
      <c r="V126" s="547"/>
      <c r="W126" s="547"/>
      <c r="X126" s="547"/>
    </row>
    <row r="127" spans="1:24" s="548" customFormat="1" ht="78.75">
      <c r="A127" s="208"/>
      <c r="B127" s="553" t="s">
        <v>738</v>
      </c>
      <c r="C127" s="203">
        <v>40</v>
      </c>
      <c r="D127" s="203">
        <f>790*100/12304</f>
        <v>6.4206762028608582</v>
      </c>
      <c r="E127" s="203">
        <f>D127-C127</f>
        <v>-33.579323797139139</v>
      </c>
      <c r="F127" s="147">
        <f>D127/C127*100</f>
        <v>16.051690507152145</v>
      </c>
      <c r="G127" s="442" t="s">
        <v>760</v>
      </c>
      <c r="H127" s="546"/>
      <c r="I127" s="547"/>
      <c r="J127" s="547"/>
      <c r="K127" s="547"/>
      <c r="L127" s="547"/>
      <c r="M127" s="547"/>
      <c r="N127" s="547"/>
      <c r="O127" s="547"/>
      <c r="P127" s="547"/>
      <c r="Q127" s="547"/>
      <c r="R127" s="547"/>
      <c r="S127" s="547"/>
      <c r="T127" s="547"/>
      <c r="U127" s="547"/>
      <c r="V127" s="547"/>
      <c r="W127" s="547"/>
      <c r="X127" s="547"/>
    </row>
    <row r="128" spans="1:24" ht="94.5">
      <c r="A128" s="208"/>
      <c r="B128" s="543" t="s">
        <v>470</v>
      </c>
      <c r="C128" s="152"/>
      <c r="D128" s="191"/>
      <c r="E128" s="192"/>
      <c r="F128" s="192"/>
      <c r="G128" s="122"/>
    </row>
    <row r="129" spans="1:24" s="341" customFormat="1" ht="63">
      <c r="A129" s="382"/>
      <c r="B129" s="373" t="s">
        <v>471</v>
      </c>
      <c r="C129" s="108">
        <f>'звіт ІІ кв'!E48</f>
        <v>12900</v>
      </c>
      <c r="D129" s="108">
        <f>'звіт ІІ кв'!L48</f>
        <v>1392.5663</v>
      </c>
      <c r="E129" s="108">
        <f>D129-C129</f>
        <v>-11507.4337</v>
      </c>
      <c r="F129" s="360">
        <f>D129/C129*100</f>
        <v>10.795087596899226</v>
      </c>
      <c r="G129" s="193" t="s">
        <v>785</v>
      </c>
      <c r="H129" s="340"/>
      <c r="I129" s="289"/>
      <c r="J129" s="289"/>
      <c r="K129" s="289"/>
      <c r="L129" s="289"/>
      <c r="M129" s="289"/>
      <c r="N129" s="289"/>
      <c r="O129" s="289"/>
      <c r="P129" s="289"/>
      <c r="Q129" s="289"/>
      <c r="R129" s="289"/>
      <c r="S129" s="289"/>
      <c r="T129" s="289"/>
      <c r="U129" s="289"/>
      <c r="V129" s="289"/>
      <c r="W129" s="289"/>
      <c r="X129" s="289"/>
    </row>
    <row r="130" spans="1:24" s="341" customFormat="1" ht="94.5">
      <c r="A130" s="382"/>
      <c r="B130" s="373" t="s">
        <v>472</v>
      </c>
      <c r="C130" s="318">
        <v>700</v>
      </c>
      <c r="D130" s="318">
        <v>384</v>
      </c>
      <c r="E130" s="108">
        <f>D130-C130</f>
        <v>-316</v>
      </c>
      <c r="F130" s="360">
        <f>D130/C130*100</f>
        <v>54.857142857142861</v>
      </c>
      <c r="G130" s="443" t="s">
        <v>740</v>
      </c>
      <c r="H130" s="340"/>
      <c r="I130" s="289"/>
      <c r="J130" s="289"/>
      <c r="K130" s="289"/>
      <c r="L130" s="289"/>
      <c r="M130" s="289"/>
      <c r="N130" s="289"/>
      <c r="O130" s="289"/>
      <c r="P130" s="289"/>
      <c r="Q130" s="289"/>
      <c r="R130" s="289"/>
      <c r="S130" s="289"/>
      <c r="T130" s="289"/>
      <c r="U130" s="289"/>
      <c r="V130" s="289"/>
      <c r="W130" s="289"/>
      <c r="X130" s="289"/>
    </row>
    <row r="131" spans="1:24" ht="47.25">
      <c r="A131" s="208"/>
      <c r="B131" s="270" t="s">
        <v>473</v>
      </c>
      <c r="C131" s="330">
        <f>C129/C130</f>
        <v>18.428571428571427</v>
      </c>
      <c r="D131" s="330">
        <f>D129/D130</f>
        <v>3.6264747395833332</v>
      </c>
      <c r="E131" s="284">
        <f>D131-C131</f>
        <v>-14.802096688988094</v>
      </c>
      <c r="F131" s="192">
        <f>D131/C131*100</f>
        <v>19.678545098514213</v>
      </c>
      <c r="G131" s="122" t="s">
        <v>741</v>
      </c>
    </row>
    <row r="132" spans="1:24" s="548" customFormat="1" ht="110.25">
      <c r="A132" s="208"/>
      <c r="B132" s="552" t="s">
        <v>743</v>
      </c>
      <c r="C132" s="330">
        <v>80</v>
      </c>
      <c r="D132" s="544">
        <f>D130*100/592</f>
        <v>64.86486486486487</v>
      </c>
      <c r="E132" s="284">
        <f>D132-C132</f>
        <v>-15.13513513513513</v>
      </c>
      <c r="F132" s="192">
        <f>D132/C132*100</f>
        <v>81.081081081081081</v>
      </c>
      <c r="G132" s="442" t="s">
        <v>742</v>
      </c>
      <c r="H132" s="546"/>
      <c r="I132" s="547"/>
      <c r="J132" s="547"/>
      <c r="K132" s="547"/>
      <c r="L132" s="547"/>
      <c r="M132" s="547"/>
      <c r="N132" s="547"/>
      <c r="O132" s="547"/>
      <c r="P132" s="547"/>
      <c r="Q132" s="547"/>
      <c r="R132" s="547"/>
      <c r="S132" s="547"/>
      <c r="T132" s="547"/>
      <c r="U132" s="547"/>
      <c r="V132" s="547"/>
      <c r="W132" s="547"/>
      <c r="X132" s="547"/>
    </row>
    <row r="133" spans="1:24" s="149" customFormat="1" ht="35.25" customHeight="1">
      <c r="A133" s="208"/>
      <c r="B133" s="529" t="s">
        <v>475</v>
      </c>
      <c r="C133" s="368"/>
      <c r="D133" s="368"/>
      <c r="E133" s="275"/>
      <c r="F133" s="275"/>
      <c r="G133" s="533"/>
      <c r="H133" s="319"/>
      <c r="I133" s="124"/>
      <c r="J133" s="124"/>
      <c r="K133" s="124"/>
      <c r="L133" s="124"/>
      <c r="M133" s="124"/>
      <c r="N133" s="124"/>
      <c r="O133" s="124"/>
      <c r="P133" s="124"/>
      <c r="Q133" s="124"/>
      <c r="R133" s="124"/>
      <c r="S133" s="124"/>
      <c r="T133" s="124"/>
      <c r="U133" s="124"/>
      <c r="V133" s="124"/>
      <c r="W133" s="124"/>
      <c r="X133" s="124"/>
    </row>
    <row r="134" spans="1:24" s="551" customFormat="1" ht="157.5">
      <c r="A134" s="381"/>
      <c r="B134" s="363" t="s">
        <v>476</v>
      </c>
      <c r="C134" s="332">
        <v>1507</v>
      </c>
      <c r="D134" s="332">
        <v>107</v>
      </c>
      <c r="E134" s="332">
        <f>D134-C134</f>
        <v>-1400</v>
      </c>
      <c r="F134" s="332">
        <f>D134/C134*100</f>
        <v>7.1001990710019909</v>
      </c>
      <c r="G134" s="443" t="s">
        <v>782</v>
      </c>
      <c r="H134" s="565"/>
      <c r="I134" s="550"/>
      <c r="J134" s="550"/>
      <c r="K134" s="550"/>
      <c r="L134" s="550"/>
      <c r="M134" s="550"/>
      <c r="N134" s="550"/>
      <c r="O134" s="550"/>
      <c r="P134" s="550"/>
      <c r="Q134" s="550"/>
      <c r="R134" s="550"/>
      <c r="S134" s="550"/>
      <c r="T134" s="550"/>
      <c r="U134" s="550"/>
      <c r="V134" s="550"/>
      <c r="W134" s="550"/>
      <c r="X134" s="550"/>
    </row>
    <row r="135" spans="1:24" s="551" customFormat="1" ht="47.25">
      <c r="A135" s="383"/>
      <c r="B135" s="363" t="s">
        <v>477</v>
      </c>
      <c r="C135" s="336">
        <v>50</v>
      </c>
      <c r="D135" s="351">
        <f>D134/D117*100</f>
        <v>11.493018259935553</v>
      </c>
      <c r="E135" s="332">
        <f>D135-C135</f>
        <v>-38.506981740064447</v>
      </c>
      <c r="F135" s="332">
        <f>D135/C135*100</f>
        <v>22.986036519871107</v>
      </c>
      <c r="G135" s="443" t="s">
        <v>783</v>
      </c>
      <c r="H135" s="565"/>
      <c r="I135" s="550"/>
      <c r="J135" s="550"/>
      <c r="K135" s="550"/>
      <c r="L135" s="550"/>
      <c r="M135" s="550"/>
      <c r="N135" s="550"/>
      <c r="O135" s="550"/>
      <c r="P135" s="550"/>
      <c r="Q135" s="550"/>
      <c r="R135" s="550"/>
      <c r="S135" s="550"/>
      <c r="T135" s="550"/>
      <c r="U135" s="550"/>
      <c r="V135" s="550"/>
      <c r="W135" s="550"/>
      <c r="X135" s="550"/>
    </row>
    <row r="136" spans="1:24" ht="25.5" customHeight="1">
      <c r="A136" s="208" t="s">
        <v>329</v>
      </c>
      <c r="B136" s="999" t="s">
        <v>478</v>
      </c>
      <c r="C136" s="1000"/>
      <c r="D136" s="1000"/>
      <c r="E136" s="1000"/>
      <c r="F136" s="1000"/>
      <c r="G136" s="1001"/>
    </row>
    <row r="137" spans="1:24" s="341" customFormat="1" ht="31.5">
      <c r="A137" s="384"/>
      <c r="B137" s="373" t="s">
        <v>479</v>
      </c>
      <c r="C137" s="108">
        <f>'звіт ІІ кв'!E50</f>
        <v>1046.93</v>
      </c>
      <c r="D137" s="385">
        <f>'звіт ІІ кв'!I50</f>
        <v>217.70162999999999</v>
      </c>
      <c r="E137" s="332">
        <f>D137-C137</f>
        <v>-829.22837000000004</v>
      </c>
      <c r="F137" s="332">
        <f>D137/C137*100</f>
        <v>20.794287106110243</v>
      </c>
      <c r="G137" s="568" t="s">
        <v>786</v>
      </c>
      <c r="H137" s="340"/>
      <c r="I137" s="289"/>
      <c r="J137" s="289"/>
      <c r="K137" s="289"/>
      <c r="L137" s="289"/>
      <c r="M137" s="289"/>
      <c r="N137" s="289"/>
      <c r="O137" s="289"/>
      <c r="P137" s="289"/>
      <c r="Q137" s="289"/>
      <c r="R137" s="289"/>
      <c r="S137" s="289"/>
      <c r="T137" s="289"/>
      <c r="U137" s="289"/>
      <c r="V137" s="289"/>
      <c r="W137" s="289"/>
      <c r="X137" s="289"/>
    </row>
    <row r="138" spans="1:24" s="341" customFormat="1" ht="47.25">
      <c r="A138" s="381"/>
      <c r="B138" s="386" t="s">
        <v>480</v>
      </c>
      <c r="C138" s="318">
        <v>1120</v>
      </c>
      <c r="D138" s="387">
        <v>931</v>
      </c>
      <c r="E138" s="332">
        <f>D138-C138</f>
        <v>-189</v>
      </c>
      <c r="F138" s="332">
        <f>D138/C138*100</f>
        <v>83.125</v>
      </c>
      <c r="G138" s="443" t="s">
        <v>603</v>
      </c>
      <c r="H138" s="340"/>
      <c r="I138" s="289"/>
      <c r="J138" s="289"/>
      <c r="K138" s="289"/>
      <c r="L138" s="289"/>
      <c r="M138" s="289"/>
      <c r="N138" s="289"/>
      <c r="O138" s="289"/>
      <c r="P138" s="289"/>
      <c r="Q138" s="289"/>
      <c r="R138" s="289"/>
      <c r="S138" s="289"/>
      <c r="T138" s="289"/>
      <c r="U138" s="289"/>
      <c r="V138" s="289"/>
      <c r="W138" s="289"/>
      <c r="X138" s="289"/>
    </row>
    <row r="139" spans="1:24" s="341" customFormat="1" ht="47.25">
      <c r="A139" s="381"/>
      <c r="B139" s="386" t="s">
        <v>481</v>
      </c>
      <c r="C139" s="330">
        <f>C137/C138</f>
        <v>0.93475892857142862</v>
      </c>
      <c r="D139" s="358">
        <f>D137/D138</f>
        <v>0.23383633727175079</v>
      </c>
      <c r="E139" s="346">
        <f>D139-C139</f>
        <v>-0.70092259129967782</v>
      </c>
      <c r="F139" s="332">
        <f>D139/C139*100</f>
        <v>25.015683736673978</v>
      </c>
      <c r="G139" s="443" t="s">
        <v>787</v>
      </c>
      <c r="H139" s="340"/>
      <c r="I139" s="289"/>
      <c r="J139" s="289"/>
      <c r="K139" s="289"/>
      <c r="L139" s="289"/>
      <c r="M139" s="289"/>
      <c r="N139" s="289"/>
      <c r="O139" s="289"/>
      <c r="P139" s="289"/>
      <c r="Q139" s="289"/>
      <c r="R139" s="289"/>
      <c r="S139" s="289"/>
      <c r="T139" s="289"/>
      <c r="U139" s="289"/>
      <c r="V139" s="289"/>
      <c r="W139" s="289"/>
      <c r="X139" s="289"/>
    </row>
    <row r="140" spans="1:24" s="341" customFormat="1" ht="78.75">
      <c r="A140" s="383"/>
      <c r="B140" s="386" t="s">
        <v>482</v>
      </c>
      <c r="C140" s="318">
        <v>40</v>
      </c>
      <c r="D140" s="388">
        <f>D138/D117*100</f>
        <v>100</v>
      </c>
      <c r="E140" s="525">
        <f>D140-C140</f>
        <v>60</v>
      </c>
      <c r="F140" s="332">
        <f>D140/C140*100</f>
        <v>250</v>
      </c>
      <c r="G140" s="443" t="s">
        <v>702</v>
      </c>
      <c r="H140" s="340"/>
      <c r="I140" s="289"/>
      <c r="J140" s="289"/>
      <c r="K140" s="289"/>
      <c r="L140" s="289"/>
      <c r="M140" s="289"/>
      <c r="N140" s="289"/>
      <c r="O140" s="289"/>
      <c r="P140" s="289"/>
      <c r="Q140" s="289"/>
      <c r="R140" s="289"/>
      <c r="S140" s="289"/>
      <c r="T140" s="289"/>
      <c r="U140" s="289"/>
      <c r="V140" s="289"/>
      <c r="W140" s="289"/>
      <c r="X140" s="289"/>
    </row>
    <row r="141" spans="1:24" s="341" customFormat="1" ht="38.25" customHeight="1">
      <c r="A141" s="382" t="s">
        <v>333</v>
      </c>
      <c r="B141" s="1049" t="s">
        <v>114</v>
      </c>
      <c r="C141" s="1050"/>
      <c r="D141" s="1050"/>
      <c r="E141" s="1050"/>
      <c r="F141" s="1050"/>
      <c r="G141" s="1051"/>
      <c r="H141" s="340"/>
      <c r="I141" s="289"/>
      <c r="J141" s="289"/>
      <c r="K141" s="289"/>
      <c r="L141" s="289"/>
      <c r="M141" s="289"/>
      <c r="N141" s="289"/>
      <c r="O141" s="289"/>
      <c r="P141" s="289"/>
      <c r="Q141" s="289"/>
      <c r="R141" s="289"/>
      <c r="S141" s="289"/>
      <c r="T141" s="289"/>
      <c r="U141" s="289"/>
      <c r="V141" s="289"/>
      <c r="W141" s="289"/>
      <c r="X141" s="289"/>
    </row>
    <row r="142" spans="1:24" s="341" customFormat="1" ht="126">
      <c r="A142" s="384"/>
      <c r="B142" s="356" t="s">
        <v>249</v>
      </c>
      <c r="C142" s="108">
        <f>'звіт ІІ кв'!E51</f>
        <v>1980.00251</v>
      </c>
      <c r="D142" s="346">
        <f>'звіт ІІ кв'!I51</f>
        <v>483.81493</v>
      </c>
      <c r="E142" s="332">
        <f>D142-C142</f>
        <v>-1496.18758</v>
      </c>
      <c r="F142" s="332">
        <f>D142/C142*100</f>
        <v>24.435066498981357</v>
      </c>
      <c r="G142" s="443" t="s">
        <v>789</v>
      </c>
      <c r="H142" s="340"/>
      <c r="I142" s="289"/>
      <c r="J142" s="289"/>
      <c r="K142" s="289"/>
      <c r="L142" s="289"/>
      <c r="M142" s="289"/>
      <c r="N142" s="289"/>
      <c r="O142" s="289"/>
      <c r="P142" s="289"/>
      <c r="Q142" s="289"/>
      <c r="R142" s="289"/>
      <c r="S142" s="289"/>
      <c r="T142" s="289"/>
      <c r="U142" s="289"/>
      <c r="V142" s="289"/>
      <c r="W142" s="289"/>
      <c r="X142" s="289"/>
    </row>
    <row r="143" spans="1:24" s="341" customFormat="1" ht="78.75">
      <c r="A143" s="381"/>
      <c r="B143" s="356" t="s">
        <v>483</v>
      </c>
      <c r="C143" s="318">
        <v>2800</v>
      </c>
      <c r="D143" s="336">
        <v>931</v>
      </c>
      <c r="E143" s="332">
        <f>D143-C143</f>
        <v>-1869</v>
      </c>
      <c r="F143" s="332">
        <f>D143/C143*100</f>
        <v>33.25</v>
      </c>
      <c r="G143" s="443" t="s">
        <v>788</v>
      </c>
      <c r="H143" s="340"/>
      <c r="I143" s="289"/>
      <c r="J143" s="289"/>
      <c r="K143" s="289"/>
      <c r="L143" s="289"/>
      <c r="M143" s="289"/>
      <c r="N143" s="289"/>
      <c r="O143" s="289"/>
      <c r="P143" s="289"/>
      <c r="Q143" s="289"/>
      <c r="R143" s="289"/>
      <c r="S143" s="289"/>
      <c r="T143" s="289"/>
      <c r="U143" s="289"/>
      <c r="V143" s="289"/>
      <c r="W143" s="289"/>
      <c r="X143" s="289"/>
    </row>
    <row r="144" spans="1:24" s="341" customFormat="1" ht="47.25">
      <c r="A144" s="381"/>
      <c r="B144" s="356" t="s">
        <v>484</v>
      </c>
      <c r="C144" s="330">
        <f>C142/C143</f>
        <v>0.70714375357142856</v>
      </c>
      <c r="D144" s="330">
        <f>D142/D143</f>
        <v>0.51967232008592912</v>
      </c>
      <c r="E144" s="346">
        <f>D144-C144</f>
        <v>-0.18747143348549944</v>
      </c>
      <c r="F144" s="332">
        <f>D144/C144*100</f>
        <v>73.488921801447688</v>
      </c>
      <c r="G144" s="443" t="s">
        <v>787</v>
      </c>
      <c r="H144" s="340"/>
      <c r="I144" s="289"/>
      <c r="J144" s="289"/>
      <c r="K144" s="289"/>
      <c r="L144" s="289"/>
      <c r="M144" s="289"/>
      <c r="N144" s="289"/>
      <c r="O144" s="289"/>
      <c r="P144" s="289"/>
      <c r="Q144" s="289"/>
      <c r="R144" s="289"/>
      <c r="S144" s="289"/>
      <c r="T144" s="289"/>
      <c r="U144" s="289"/>
      <c r="V144" s="289"/>
      <c r="W144" s="289"/>
      <c r="X144" s="289"/>
    </row>
    <row r="145" spans="1:24" s="341" customFormat="1" ht="78.75">
      <c r="A145" s="383"/>
      <c r="B145" s="356" t="s">
        <v>485</v>
      </c>
      <c r="C145" s="318">
        <v>100</v>
      </c>
      <c r="D145" s="336">
        <v>100</v>
      </c>
      <c r="E145" s="332">
        <f>D145-C145</f>
        <v>0</v>
      </c>
      <c r="F145" s="332">
        <f>D145/C145*100</f>
        <v>100</v>
      </c>
      <c r="G145" s="443" t="s">
        <v>703</v>
      </c>
      <c r="H145" s="340"/>
      <c r="I145" s="289"/>
      <c r="J145" s="289"/>
      <c r="K145" s="289"/>
      <c r="L145" s="289"/>
      <c r="M145" s="289"/>
      <c r="N145" s="289"/>
      <c r="O145" s="289"/>
      <c r="P145" s="289"/>
      <c r="Q145" s="289"/>
      <c r="R145" s="289"/>
      <c r="S145" s="289"/>
      <c r="T145" s="289"/>
      <c r="U145" s="289"/>
      <c r="V145" s="289"/>
      <c r="W145" s="289"/>
      <c r="X145" s="289"/>
    </row>
    <row r="146" spans="1:24" ht="21" customHeight="1">
      <c r="A146" s="208" t="s">
        <v>339</v>
      </c>
      <c r="B146" s="999" t="s">
        <v>486</v>
      </c>
      <c r="C146" s="1000"/>
      <c r="D146" s="1000"/>
      <c r="E146" s="1000"/>
      <c r="F146" s="1000"/>
      <c r="G146" s="1001"/>
    </row>
    <row r="147" spans="1:24" s="341" customFormat="1" ht="78.75">
      <c r="A147" s="384"/>
      <c r="B147" s="356" t="s">
        <v>487</v>
      </c>
      <c r="C147" s="108">
        <f>'звіт ІІ кв'!E57</f>
        <v>4449.174</v>
      </c>
      <c r="D147" s="346">
        <f>'звіт ІІ кв'!I57</f>
        <v>194.39847</v>
      </c>
      <c r="E147" s="332">
        <f>D147-C147</f>
        <v>-4254.7755299999999</v>
      </c>
      <c r="F147" s="332">
        <f>D147/C147*100</f>
        <v>4.3693159674132769</v>
      </c>
      <c r="G147" s="325" t="s">
        <v>790</v>
      </c>
      <c r="H147" s="389"/>
      <c r="I147" s="390"/>
      <c r="J147" s="390"/>
      <c r="K147" s="390"/>
      <c r="L147" s="390"/>
      <c r="M147" s="390"/>
      <c r="N147" s="390"/>
      <c r="O147" s="390"/>
      <c r="P147" s="390"/>
      <c r="Q147" s="390"/>
      <c r="R147" s="390"/>
      <c r="S147" s="390"/>
      <c r="T147" s="390"/>
      <c r="U147" s="390"/>
      <c r="V147" s="390"/>
      <c r="W147" s="390"/>
      <c r="X147" s="390"/>
    </row>
    <row r="148" spans="1:24" s="350" customFormat="1">
      <c r="A148" s="382"/>
      <c r="B148" s="569" t="s">
        <v>124</v>
      </c>
      <c r="C148" s="447"/>
      <c r="D148" s="447"/>
      <c r="E148" s="332"/>
      <c r="F148" s="332"/>
      <c r="G148" s="570"/>
      <c r="H148" s="571"/>
      <c r="I148" s="572"/>
      <c r="J148" s="572"/>
      <c r="K148" s="572"/>
      <c r="L148" s="572"/>
      <c r="M148" s="572"/>
      <c r="N148" s="572"/>
      <c r="O148" s="572"/>
      <c r="P148" s="572"/>
      <c r="Q148" s="572"/>
      <c r="R148" s="572"/>
      <c r="S148" s="572"/>
      <c r="T148" s="572"/>
      <c r="U148" s="572"/>
      <c r="V148" s="572"/>
      <c r="W148" s="572"/>
      <c r="X148" s="572"/>
    </row>
    <row r="149" spans="1:24" s="341" customFormat="1" ht="47.25">
      <c r="A149" s="381"/>
      <c r="B149" s="363" t="s">
        <v>488</v>
      </c>
      <c r="C149" s="318">
        <v>2000</v>
      </c>
      <c r="D149" s="336">
        <f>'показники І кв'!D149+744</f>
        <v>1374</v>
      </c>
      <c r="E149" s="332">
        <f t="shared" ref="E149:E159" si="6">D149-C149</f>
        <v>-626</v>
      </c>
      <c r="F149" s="332">
        <f t="shared" ref="F149:F159" si="7">D149/C149*100</f>
        <v>68.7</v>
      </c>
      <c r="G149" s="443" t="s">
        <v>791</v>
      </c>
      <c r="H149" s="389"/>
      <c r="I149" s="390"/>
      <c r="J149" s="390"/>
      <c r="K149" s="390"/>
      <c r="L149" s="390"/>
      <c r="M149" s="390"/>
      <c r="N149" s="390"/>
      <c r="O149" s="390"/>
      <c r="P149" s="390"/>
      <c r="Q149" s="390"/>
      <c r="R149" s="390"/>
      <c r="S149" s="390"/>
      <c r="T149" s="390"/>
      <c r="U149" s="390"/>
      <c r="V149" s="390"/>
      <c r="W149" s="390"/>
      <c r="X149" s="390"/>
    </row>
    <row r="150" spans="1:24" s="350" customFormat="1">
      <c r="A150" s="382"/>
      <c r="B150" s="569" t="s">
        <v>125</v>
      </c>
      <c r="C150" s="447"/>
      <c r="D150" s="447"/>
      <c r="E150" s="332"/>
      <c r="F150" s="332"/>
      <c r="G150" s="570"/>
      <c r="H150" s="571"/>
      <c r="I150" s="572"/>
      <c r="J150" s="572"/>
      <c r="K150" s="572"/>
      <c r="L150" s="572"/>
      <c r="M150" s="572"/>
      <c r="N150" s="572"/>
      <c r="O150" s="572"/>
      <c r="P150" s="572"/>
      <c r="Q150" s="572"/>
      <c r="R150" s="572"/>
      <c r="S150" s="572"/>
      <c r="T150" s="572"/>
      <c r="U150" s="572"/>
      <c r="V150" s="572"/>
      <c r="W150" s="572"/>
      <c r="X150" s="572"/>
    </row>
    <row r="151" spans="1:24" s="341" customFormat="1" ht="47.25">
      <c r="A151" s="381"/>
      <c r="B151" s="363" t="s">
        <v>489</v>
      </c>
      <c r="C151" s="318">
        <v>1000</v>
      </c>
      <c r="D151" s="336">
        <f>'показники І кв'!D151+399</f>
        <v>1047</v>
      </c>
      <c r="E151" s="332">
        <f t="shared" si="6"/>
        <v>47</v>
      </c>
      <c r="F151" s="332">
        <f t="shared" si="7"/>
        <v>104.69999999999999</v>
      </c>
      <c r="G151" s="443" t="s">
        <v>791</v>
      </c>
      <c r="H151" s="389"/>
      <c r="I151" s="390"/>
      <c r="J151" s="390"/>
      <c r="K151" s="390"/>
      <c r="L151" s="390"/>
      <c r="M151" s="390"/>
      <c r="N151" s="390"/>
      <c r="O151" s="390"/>
      <c r="P151" s="390"/>
      <c r="Q151" s="390"/>
      <c r="R151" s="390"/>
      <c r="S151" s="390"/>
      <c r="T151" s="390"/>
      <c r="U151" s="390"/>
      <c r="V151" s="390"/>
      <c r="W151" s="390"/>
      <c r="X151" s="390"/>
    </row>
    <row r="152" spans="1:24" s="350" customFormat="1">
      <c r="A152" s="382"/>
      <c r="B152" s="569" t="s">
        <v>126</v>
      </c>
      <c r="C152" s="447"/>
      <c r="D152" s="447"/>
      <c r="E152" s="332"/>
      <c r="F152" s="332"/>
      <c r="G152" s="570"/>
      <c r="H152" s="571"/>
      <c r="I152" s="572"/>
      <c r="J152" s="572"/>
      <c r="K152" s="572"/>
      <c r="L152" s="572"/>
      <c r="M152" s="572"/>
      <c r="N152" s="572"/>
      <c r="O152" s="572"/>
      <c r="P152" s="572"/>
      <c r="Q152" s="572"/>
      <c r="R152" s="572"/>
      <c r="S152" s="572"/>
      <c r="T152" s="572"/>
      <c r="U152" s="572"/>
      <c r="V152" s="572"/>
      <c r="W152" s="572"/>
      <c r="X152" s="572"/>
    </row>
    <row r="153" spans="1:24" s="341" customFormat="1" ht="47.25">
      <c r="A153" s="381"/>
      <c r="B153" s="363" t="s">
        <v>490</v>
      </c>
      <c r="C153" s="318">
        <v>75</v>
      </c>
      <c r="D153" s="336">
        <f>'показники І кв'!D153+154</f>
        <v>272</v>
      </c>
      <c r="E153" s="525">
        <f t="shared" si="6"/>
        <v>197</v>
      </c>
      <c r="F153" s="332">
        <f t="shared" si="7"/>
        <v>362.66666666666663</v>
      </c>
      <c r="G153" s="443" t="s">
        <v>603</v>
      </c>
      <c r="H153" s="389"/>
      <c r="I153" s="390"/>
      <c r="J153" s="390"/>
      <c r="K153" s="390"/>
      <c r="L153" s="390"/>
      <c r="M153" s="390"/>
      <c r="N153" s="390"/>
      <c r="O153" s="390"/>
      <c r="P153" s="390"/>
      <c r="Q153" s="390"/>
      <c r="R153" s="390"/>
      <c r="S153" s="390"/>
      <c r="T153" s="390"/>
      <c r="U153" s="390"/>
      <c r="V153" s="390"/>
      <c r="W153" s="390"/>
      <c r="X153" s="390"/>
    </row>
    <row r="154" spans="1:24" s="350" customFormat="1">
      <c r="A154" s="382"/>
      <c r="B154" s="569" t="s">
        <v>127</v>
      </c>
      <c r="C154" s="447"/>
      <c r="D154" s="447"/>
      <c r="E154" s="332"/>
      <c r="F154" s="332"/>
      <c r="G154" s="570"/>
      <c r="H154" s="571"/>
      <c r="I154" s="572"/>
      <c r="J154" s="572"/>
      <c r="K154" s="572"/>
      <c r="L154" s="572"/>
      <c r="M154" s="572"/>
      <c r="N154" s="572"/>
      <c r="O154" s="572"/>
      <c r="P154" s="572"/>
      <c r="Q154" s="572"/>
      <c r="R154" s="572"/>
      <c r="S154" s="572"/>
      <c r="T154" s="572"/>
      <c r="U154" s="572"/>
      <c r="V154" s="572"/>
      <c r="W154" s="572"/>
      <c r="X154" s="572"/>
    </row>
    <row r="155" spans="1:24" s="341" customFormat="1" ht="47.25">
      <c r="A155" s="381"/>
      <c r="B155" s="363" t="s">
        <v>491</v>
      </c>
      <c r="C155" s="318">
        <v>75</v>
      </c>
      <c r="D155" s="336">
        <f>'показники І кв'!D155+7</f>
        <v>59</v>
      </c>
      <c r="E155" s="332">
        <f t="shared" si="6"/>
        <v>-16</v>
      </c>
      <c r="F155" s="332">
        <f t="shared" si="7"/>
        <v>78.666666666666657</v>
      </c>
      <c r="G155" s="443" t="s">
        <v>603</v>
      </c>
      <c r="H155" s="389"/>
      <c r="I155" s="390"/>
      <c r="J155" s="390"/>
      <c r="K155" s="390"/>
      <c r="L155" s="390"/>
      <c r="M155" s="390"/>
      <c r="N155" s="390"/>
      <c r="O155" s="390"/>
      <c r="P155" s="390"/>
      <c r="Q155" s="390"/>
      <c r="R155" s="390"/>
      <c r="S155" s="390"/>
      <c r="T155" s="390"/>
      <c r="U155" s="390"/>
      <c r="V155" s="390"/>
      <c r="W155" s="390"/>
      <c r="X155" s="390"/>
    </row>
    <row r="156" spans="1:24" s="290" customFormat="1">
      <c r="A156" s="573"/>
      <c r="B156" s="569" t="s">
        <v>128</v>
      </c>
      <c r="C156" s="449"/>
      <c r="D156" s="418"/>
      <c r="E156" s="332"/>
      <c r="F156" s="332"/>
      <c r="G156" s="568"/>
      <c r="H156" s="574"/>
      <c r="I156" s="575"/>
      <c r="J156" s="575"/>
      <c r="K156" s="575"/>
      <c r="L156" s="575"/>
      <c r="M156" s="575"/>
      <c r="N156" s="575"/>
      <c r="O156" s="575"/>
      <c r="P156" s="575"/>
      <c r="Q156" s="575"/>
      <c r="R156" s="575"/>
      <c r="S156" s="575"/>
      <c r="T156" s="575"/>
      <c r="U156" s="575"/>
      <c r="V156" s="575"/>
      <c r="W156" s="575"/>
      <c r="X156" s="575"/>
    </row>
    <row r="157" spans="1:24" s="341" customFormat="1" ht="78.75">
      <c r="A157" s="381"/>
      <c r="B157" s="356" t="s">
        <v>492</v>
      </c>
      <c r="C157" s="318">
        <v>432</v>
      </c>
      <c r="D157" s="336">
        <f>'показники І кв'!D157+1505</f>
        <v>2620</v>
      </c>
      <c r="E157" s="525">
        <f t="shared" si="6"/>
        <v>2188</v>
      </c>
      <c r="F157" s="332">
        <f t="shared" si="7"/>
        <v>606.48148148148152</v>
      </c>
      <c r="G157" s="443" t="s">
        <v>719</v>
      </c>
      <c r="H157" s="340"/>
      <c r="I157" s="289"/>
      <c r="J157" s="289"/>
      <c r="K157" s="289"/>
      <c r="L157" s="289"/>
      <c r="M157" s="289"/>
      <c r="N157" s="289"/>
      <c r="O157" s="289"/>
      <c r="P157" s="289"/>
      <c r="Q157" s="289"/>
      <c r="R157" s="289"/>
      <c r="S157" s="289"/>
      <c r="T157" s="289"/>
      <c r="U157" s="289"/>
      <c r="V157" s="289"/>
      <c r="W157" s="289"/>
      <c r="X157" s="289"/>
    </row>
    <row r="158" spans="1:24" ht="47.25">
      <c r="A158" s="209"/>
      <c r="B158" s="266" t="s">
        <v>493</v>
      </c>
      <c r="C158" s="330">
        <v>0.2</v>
      </c>
      <c r="D158" s="391">
        <f>D147/(D149+D151+D153+D155+D157)</f>
        <v>3.6187354802680566E-2</v>
      </c>
      <c r="E158" s="223">
        <f t="shared" si="6"/>
        <v>-0.16381264519731945</v>
      </c>
      <c r="F158" s="143">
        <f t="shared" si="7"/>
        <v>18.093677401340283</v>
      </c>
      <c r="G158" s="443" t="s">
        <v>787</v>
      </c>
    </row>
    <row r="159" spans="1:24" s="548" customFormat="1" ht="63">
      <c r="A159" s="210"/>
      <c r="B159" s="445" t="s">
        <v>721</v>
      </c>
      <c r="C159" s="330">
        <v>55</v>
      </c>
      <c r="D159" s="391">
        <f>1148/(D149+D151+D153+D155+D157)*100</f>
        <v>21.37006701414743</v>
      </c>
      <c r="E159" s="219">
        <f t="shared" si="6"/>
        <v>-33.62993298585257</v>
      </c>
      <c r="F159" s="148">
        <f t="shared" si="7"/>
        <v>38.854667298449876</v>
      </c>
      <c r="G159" s="443" t="s">
        <v>720</v>
      </c>
      <c r="H159" s="546"/>
      <c r="I159" s="547"/>
      <c r="J159" s="547"/>
      <c r="K159" s="547"/>
      <c r="L159" s="547"/>
      <c r="M159" s="547"/>
      <c r="N159" s="547"/>
      <c r="O159" s="547"/>
      <c r="P159" s="547"/>
      <c r="Q159" s="547"/>
      <c r="R159" s="547"/>
      <c r="S159" s="547"/>
      <c r="T159" s="547"/>
      <c r="U159" s="547"/>
      <c r="V159" s="547"/>
      <c r="W159" s="547"/>
      <c r="X159" s="547"/>
    </row>
    <row r="160" spans="1:24" ht="36.75" customHeight="1">
      <c r="A160" s="212" t="s">
        <v>343</v>
      </c>
      <c r="B160" s="999" t="s">
        <v>495</v>
      </c>
      <c r="C160" s="1000"/>
      <c r="D160" s="1000"/>
      <c r="E160" s="1000"/>
      <c r="F160" s="1000"/>
      <c r="G160" s="1001"/>
    </row>
    <row r="161" spans="1:24" s="341" customFormat="1">
      <c r="A161" s="384"/>
      <c r="B161" s="356" t="s">
        <v>249</v>
      </c>
      <c r="C161" s="330">
        <f>'звіт ІІ кв'!E63</f>
        <v>237.5</v>
      </c>
      <c r="D161" s="391">
        <f>'звіт ІІ кв'!I63</f>
        <v>0</v>
      </c>
      <c r="E161" s="346">
        <f>D161-C161</f>
        <v>-237.5</v>
      </c>
      <c r="F161" s="332">
        <f>D161/C161*100</f>
        <v>0</v>
      </c>
      <c r="G161" s="326" t="s">
        <v>792</v>
      </c>
      <c r="H161" s="340"/>
      <c r="I161" s="289"/>
      <c r="J161" s="289"/>
      <c r="K161" s="289"/>
      <c r="L161" s="289"/>
      <c r="M161" s="289"/>
      <c r="N161" s="289"/>
      <c r="O161" s="289"/>
      <c r="P161" s="289"/>
      <c r="Q161" s="289"/>
      <c r="R161" s="289"/>
      <c r="S161" s="289"/>
      <c r="T161" s="289"/>
      <c r="U161" s="289"/>
      <c r="V161" s="289"/>
      <c r="W161" s="289"/>
      <c r="X161" s="289"/>
    </row>
    <row r="162" spans="1:24" ht="78.75">
      <c r="A162" s="209"/>
      <c r="B162" s="266" t="s">
        <v>496</v>
      </c>
      <c r="C162" s="318">
        <v>40</v>
      </c>
      <c r="D162" s="336">
        <v>27</v>
      </c>
      <c r="E162" s="143">
        <f>D162-C162</f>
        <v>-13</v>
      </c>
      <c r="F162" s="143">
        <f>D162/C162*100</f>
        <v>67.5</v>
      </c>
      <c r="G162" s="122" t="s">
        <v>661</v>
      </c>
    </row>
    <row r="163" spans="1:24" ht="31.5">
      <c r="A163" s="209"/>
      <c r="B163" s="266" t="s">
        <v>497</v>
      </c>
      <c r="C163" s="330">
        <f>C161/C162</f>
        <v>5.9375</v>
      </c>
      <c r="D163" s="391">
        <f>D161/D162</f>
        <v>0</v>
      </c>
      <c r="E163" s="223">
        <f>D163-C163</f>
        <v>-5.9375</v>
      </c>
      <c r="F163" s="143">
        <f>D163/C163*100</f>
        <v>0</v>
      </c>
      <c r="G163" s="326" t="s">
        <v>793</v>
      </c>
    </row>
    <row r="164" spans="1:24" ht="84" customHeight="1">
      <c r="A164" s="210"/>
      <c r="B164" s="266" t="s">
        <v>498</v>
      </c>
      <c r="C164" s="318">
        <v>95</v>
      </c>
      <c r="D164" s="351">
        <f>D162/31*100</f>
        <v>87.096774193548384</v>
      </c>
      <c r="E164" s="143">
        <f>D164-C164</f>
        <v>-7.9032258064516157</v>
      </c>
      <c r="F164" s="143">
        <f>D164/C164*100</f>
        <v>91.68081494057725</v>
      </c>
      <c r="G164" s="122" t="s">
        <v>661</v>
      </c>
    </row>
    <row r="165" spans="1:24" s="341" customFormat="1">
      <c r="A165" s="586" t="s">
        <v>132</v>
      </c>
      <c r="B165" s="1083" t="s">
        <v>131</v>
      </c>
      <c r="C165" s="1084"/>
      <c r="D165" s="1084"/>
      <c r="E165" s="1081"/>
      <c r="F165" s="1081"/>
      <c r="G165" s="1082"/>
      <c r="H165" s="340"/>
      <c r="I165" s="289"/>
      <c r="J165" s="289"/>
      <c r="K165" s="289"/>
      <c r="L165" s="289"/>
      <c r="M165" s="289"/>
      <c r="N165" s="289"/>
      <c r="O165" s="289"/>
      <c r="P165" s="289"/>
      <c r="Q165" s="289"/>
      <c r="R165" s="289"/>
      <c r="S165" s="289"/>
      <c r="T165" s="289"/>
      <c r="U165" s="289"/>
      <c r="V165" s="289"/>
      <c r="W165" s="289"/>
      <c r="X165" s="289"/>
    </row>
    <row r="166" spans="1:24" s="149" customFormat="1">
      <c r="A166" s="212" t="s">
        <v>135</v>
      </c>
      <c r="B166" s="999" t="s">
        <v>499</v>
      </c>
      <c r="C166" s="1000"/>
      <c r="D166" s="1000"/>
      <c r="E166" s="1000"/>
      <c r="F166" s="1000"/>
      <c r="G166" s="1001"/>
      <c r="H166" s="319"/>
      <c r="I166" s="124"/>
      <c r="J166" s="124"/>
      <c r="K166" s="124"/>
      <c r="L166" s="124"/>
      <c r="M166" s="124"/>
      <c r="N166" s="124"/>
      <c r="O166" s="124"/>
      <c r="P166" s="124"/>
      <c r="Q166" s="124"/>
      <c r="R166" s="124"/>
      <c r="S166" s="124"/>
      <c r="T166" s="124"/>
      <c r="U166" s="124"/>
      <c r="V166" s="124"/>
      <c r="W166" s="124"/>
      <c r="X166" s="124"/>
    </row>
    <row r="167" spans="1:24" s="350" customFormat="1" ht="173.25">
      <c r="A167" s="392"/>
      <c r="B167" s="337" t="s">
        <v>196</v>
      </c>
      <c r="C167" s="108">
        <f>'звіт ІІ кв'!E66</f>
        <v>188433.41999999998</v>
      </c>
      <c r="D167" s="108">
        <f>'звіт ІІ кв'!I65</f>
        <v>29571.5975</v>
      </c>
      <c r="E167" s="108">
        <f>D167-C167</f>
        <v>-158861.82249999998</v>
      </c>
      <c r="F167" s="360">
        <f>D167/C167*100</f>
        <v>15.693393188957671</v>
      </c>
      <c r="G167" s="325" t="s">
        <v>797</v>
      </c>
      <c r="H167" s="576"/>
      <c r="I167" s="289"/>
      <c r="J167" s="289"/>
      <c r="K167" s="289"/>
      <c r="L167" s="289"/>
      <c r="M167" s="289"/>
      <c r="N167" s="289"/>
      <c r="O167" s="289"/>
      <c r="P167" s="289"/>
      <c r="Q167" s="289"/>
      <c r="R167" s="289"/>
      <c r="S167" s="289"/>
      <c r="T167" s="289"/>
      <c r="U167" s="289"/>
      <c r="V167" s="289"/>
      <c r="W167" s="289"/>
      <c r="X167" s="289"/>
    </row>
    <row r="168" spans="1:24" s="149" customFormat="1" ht="63">
      <c r="A168" s="208"/>
      <c r="B168" s="529" t="s">
        <v>500</v>
      </c>
      <c r="C168" s="368"/>
      <c r="D168" s="368"/>
      <c r="E168" s="284"/>
      <c r="F168" s="191"/>
      <c r="G168" s="533"/>
      <c r="H168" s="319"/>
      <c r="I168" s="124"/>
      <c r="J168" s="124"/>
      <c r="K168" s="124"/>
      <c r="L168" s="124"/>
      <c r="M168" s="124"/>
      <c r="N168" s="124"/>
      <c r="O168" s="124"/>
      <c r="P168" s="124"/>
      <c r="Q168" s="124"/>
      <c r="R168" s="124"/>
      <c r="S168" s="124"/>
      <c r="T168" s="124"/>
      <c r="U168" s="124"/>
      <c r="V168" s="124"/>
      <c r="W168" s="124"/>
      <c r="X168" s="124"/>
    </row>
    <row r="169" spans="1:24" s="341" customFormat="1" ht="47.25">
      <c r="A169" s="381"/>
      <c r="B169" s="337" t="s">
        <v>501</v>
      </c>
      <c r="C169" s="332">
        <v>15704</v>
      </c>
      <c r="D169" s="332">
        <v>9072</v>
      </c>
      <c r="E169" s="295">
        <f>D169-C169</f>
        <v>-6632</v>
      </c>
      <c r="F169" s="360">
        <f t="shared" ref="F169:F177" si="8">D169/C169*100</f>
        <v>57.768721344880284</v>
      </c>
      <c r="G169" s="326" t="s">
        <v>794</v>
      </c>
      <c r="H169" s="340"/>
      <c r="I169" s="289"/>
      <c r="J169" s="289"/>
      <c r="K169" s="289"/>
      <c r="L169" s="289"/>
      <c r="M169" s="289"/>
      <c r="N169" s="289"/>
      <c r="O169" s="289"/>
      <c r="P169" s="289"/>
      <c r="Q169" s="289"/>
      <c r="R169" s="289"/>
      <c r="S169" s="289"/>
      <c r="T169" s="289"/>
      <c r="U169" s="289"/>
      <c r="V169" s="289"/>
      <c r="W169" s="289"/>
      <c r="X169" s="289"/>
    </row>
    <row r="170" spans="1:24" s="551" customFormat="1" ht="63">
      <c r="A170" s="381"/>
      <c r="B170" s="337" t="s">
        <v>502</v>
      </c>
      <c r="C170" s="332">
        <v>3000</v>
      </c>
      <c r="D170" s="332">
        <v>1046</v>
      </c>
      <c r="E170" s="108">
        <f>D170-C170</f>
        <v>-1954</v>
      </c>
      <c r="F170" s="360">
        <f t="shared" si="8"/>
        <v>34.866666666666667</v>
      </c>
      <c r="G170" s="443" t="s">
        <v>795</v>
      </c>
      <c r="H170" s="565"/>
      <c r="I170" s="550"/>
      <c r="J170" s="550"/>
      <c r="K170" s="550"/>
      <c r="L170" s="550"/>
      <c r="M170" s="550"/>
      <c r="N170" s="550"/>
      <c r="O170" s="550"/>
      <c r="P170" s="550"/>
      <c r="Q170" s="550"/>
      <c r="R170" s="550"/>
      <c r="S170" s="550"/>
      <c r="T170" s="550"/>
      <c r="U170" s="550"/>
      <c r="V170" s="550"/>
      <c r="W170" s="550"/>
      <c r="X170" s="550"/>
    </row>
    <row r="171" spans="1:24" s="341" customFormat="1" ht="47.25">
      <c r="A171" s="381"/>
      <c r="B171" s="337" t="s">
        <v>222</v>
      </c>
      <c r="C171" s="346">
        <f>C167/C169</f>
        <v>11.999071574121242</v>
      </c>
      <c r="D171" s="346">
        <f>D167/D169</f>
        <v>3.2596558090828922</v>
      </c>
      <c r="E171" s="108">
        <f>D171-C171</f>
        <v>-8.7394157650383502</v>
      </c>
      <c r="F171" s="360">
        <f t="shared" si="8"/>
        <v>27.165900202754766</v>
      </c>
      <c r="G171" s="326" t="s">
        <v>796</v>
      </c>
      <c r="H171" s="340"/>
      <c r="I171" s="289"/>
      <c r="J171" s="289"/>
      <c r="K171" s="289"/>
      <c r="L171" s="289"/>
      <c r="M171" s="289"/>
      <c r="N171" s="289"/>
      <c r="O171" s="289"/>
      <c r="P171" s="289"/>
      <c r="Q171" s="289"/>
      <c r="R171" s="289"/>
      <c r="S171" s="289"/>
      <c r="T171" s="289"/>
      <c r="U171" s="289"/>
      <c r="V171" s="289"/>
      <c r="W171" s="289"/>
      <c r="X171" s="289"/>
    </row>
    <row r="172" spans="1:24" s="341" customFormat="1" ht="63">
      <c r="A172" s="381"/>
      <c r="B172" s="337" t="s">
        <v>503</v>
      </c>
      <c r="C172" s="346">
        <v>88</v>
      </c>
      <c r="D172" s="346">
        <f>D169/13237*100</f>
        <v>68.535166578529882</v>
      </c>
      <c r="E172" s="108">
        <f>D172-C172</f>
        <v>-19.464833421470118</v>
      </c>
      <c r="F172" s="360">
        <f t="shared" si="8"/>
        <v>77.880871111965774</v>
      </c>
      <c r="G172" s="443" t="s">
        <v>798</v>
      </c>
      <c r="H172" s="340"/>
      <c r="I172" s="289"/>
      <c r="J172" s="289"/>
      <c r="K172" s="289"/>
      <c r="L172" s="289"/>
      <c r="M172" s="289"/>
      <c r="N172" s="289"/>
      <c r="O172" s="289"/>
      <c r="P172" s="289"/>
      <c r="Q172" s="289"/>
      <c r="R172" s="289"/>
      <c r="S172" s="289"/>
      <c r="T172" s="289"/>
      <c r="U172" s="289"/>
      <c r="V172" s="289"/>
      <c r="W172" s="289"/>
      <c r="X172" s="289"/>
    </row>
    <row r="173" spans="1:24" ht="47.25">
      <c r="A173" s="138"/>
      <c r="B173" s="529" t="s">
        <v>504</v>
      </c>
      <c r="C173" s="368"/>
      <c r="D173" s="368"/>
      <c r="E173" s="284"/>
      <c r="F173" s="191"/>
      <c r="G173" s="533"/>
    </row>
    <row r="174" spans="1:24" s="548" customFormat="1" ht="63">
      <c r="A174" s="209"/>
      <c r="B174" s="539" t="s">
        <v>505</v>
      </c>
      <c r="C174" s="332">
        <v>2000</v>
      </c>
      <c r="D174" s="332">
        <v>9</v>
      </c>
      <c r="E174" s="327">
        <f>D174-C174</f>
        <v>-1991</v>
      </c>
      <c r="F174" s="191">
        <f t="shared" si="8"/>
        <v>0.44999999999999996</v>
      </c>
      <c r="G174" s="442" t="s">
        <v>799</v>
      </c>
      <c r="H174" s="546"/>
      <c r="I174" s="547"/>
      <c r="J174" s="547"/>
      <c r="K174" s="547"/>
      <c r="L174" s="547"/>
      <c r="M174" s="547"/>
      <c r="N174" s="547"/>
      <c r="O174" s="547"/>
      <c r="P174" s="547"/>
      <c r="Q174" s="547"/>
      <c r="R174" s="547"/>
      <c r="S174" s="547"/>
      <c r="T174" s="547"/>
      <c r="U174" s="547"/>
      <c r="V174" s="547"/>
      <c r="W174" s="547"/>
      <c r="X174" s="547"/>
    </row>
    <row r="175" spans="1:24" s="548" customFormat="1" ht="94.5">
      <c r="A175" s="209"/>
      <c r="B175" s="539" t="s">
        <v>506</v>
      </c>
      <c r="C175" s="412">
        <v>60</v>
      </c>
      <c r="D175" s="391">
        <f>D174*100/23</f>
        <v>39.130434782608695</v>
      </c>
      <c r="E175" s="203">
        <f>D175-C175</f>
        <v>-20.869565217391305</v>
      </c>
      <c r="F175" s="203">
        <f t="shared" si="8"/>
        <v>65.217391304347828</v>
      </c>
      <c r="G175" s="442" t="s">
        <v>800</v>
      </c>
      <c r="H175" s="546"/>
      <c r="I175" s="547"/>
      <c r="J175" s="547"/>
      <c r="K175" s="547"/>
      <c r="L175" s="547"/>
      <c r="M175" s="547"/>
      <c r="N175" s="547"/>
      <c r="O175" s="547"/>
      <c r="P175" s="547"/>
      <c r="Q175" s="547"/>
      <c r="R175" s="547"/>
      <c r="S175" s="547"/>
      <c r="T175" s="547"/>
      <c r="U175" s="547"/>
      <c r="V175" s="547"/>
      <c r="W175" s="547"/>
      <c r="X175" s="547"/>
    </row>
    <row r="176" spans="1:24" ht="31.5">
      <c r="A176" s="138"/>
      <c r="B176" s="529" t="s">
        <v>507</v>
      </c>
      <c r="C176" s="339"/>
      <c r="D176" s="332"/>
      <c r="E176" s="284"/>
      <c r="F176" s="191"/>
      <c r="G176" s="122"/>
    </row>
    <row r="177" spans="1:24" s="548" customFormat="1" ht="78.75">
      <c r="A177" s="209"/>
      <c r="B177" s="539" t="s">
        <v>508</v>
      </c>
      <c r="C177" s="332">
        <v>9666</v>
      </c>
      <c r="D177" s="332">
        <v>1374</v>
      </c>
      <c r="E177" s="295">
        <f>D177-C177</f>
        <v>-8292</v>
      </c>
      <c r="F177" s="360">
        <f t="shared" si="8"/>
        <v>14.214773432650526</v>
      </c>
      <c r="G177" s="442" t="s">
        <v>801</v>
      </c>
      <c r="H177" s="546"/>
      <c r="I177" s="547"/>
      <c r="J177" s="547"/>
      <c r="K177" s="547"/>
      <c r="L177" s="547"/>
      <c r="M177" s="547"/>
      <c r="N177" s="547"/>
      <c r="O177" s="547"/>
      <c r="P177" s="547"/>
      <c r="Q177" s="547"/>
      <c r="R177" s="547"/>
      <c r="S177" s="547"/>
      <c r="T177" s="547"/>
      <c r="U177" s="547"/>
      <c r="V177" s="547"/>
      <c r="W177" s="547"/>
      <c r="X177" s="547"/>
    </row>
    <row r="178" spans="1:24" s="548" customFormat="1" ht="78.75">
      <c r="A178" s="209"/>
      <c r="B178" s="285" t="s">
        <v>509</v>
      </c>
      <c r="C178" s="334">
        <v>54</v>
      </c>
      <c r="D178" s="334">
        <f>D177*100/D169</f>
        <v>15.145502645502646</v>
      </c>
      <c r="E178" s="108">
        <f>D178-C178</f>
        <v>-38.854497354497354</v>
      </c>
      <c r="F178" s="360">
        <f>D178/C178*100</f>
        <v>28.047227121301194</v>
      </c>
      <c r="G178" s="451" t="s">
        <v>802</v>
      </c>
      <c r="H178" s="546"/>
      <c r="I178" s="547"/>
      <c r="J178" s="547"/>
      <c r="K178" s="547"/>
      <c r="L178" s="547"/>
      <c r="M178" s="547"/>
      <c r="N178" s="547"/>
      <c r="O178" s="547"/>
      <c r="P178" s="547"/>
      <c r="Q178" s="547"/>
      <c r="R178" s="547"/>
      <c r="S178" s="547"/>
      <c r="T178" s="547"/>
      <c r="U178" s="547"/>
      <c r="V178" s="547"/>
      <c r="W178" s="547"/>
      <c r="X178" s="547"/>
    </row>
    <row r="179" spans="1:24" ht="31.5" customHeight="1">
      <c r="A179" s="225" t="s">
        <v>362</v>
      </c>
      <c r="B179" s="999" t="s">
        <v>587</v>
      </c>
      <c r="C179" s="1000"/>
      <c r="D179" s="1000"/>
      <c r="E179" s="1000"/>
      <c r="F179" s="1000"/>
      <c r="G179" s="1001"/>
    </row>
    <row r="180" spans="1:24" ht="19.5" hidden="1" customHeight="1">
      <c r="A180" s="137"/>
      <c r="B180" s="533" t="s">
        <v>588</v>
      </c>
      <c r="C180" s="292"/>
      <c r="D180" s="292"/>
      <c r="E180" s="533"/>
      <c r="F180" s="533"/>
      <c r="G180" s="533"/>
    </row>
    <row r="181" spans="1:24" hidden="1">
      <c r="A181" s="138"/>
      <c r="B181" s="285" t="s">
        <v>590</v>
      </c>
      <c r="C181" s="395">
        <v>0</v>
      </c>
      <c r="D181" s="328">
        <v>0</v>
      </c>
      <c r="E181" s="284">
        <v>0</v>
      </c>
      <c r="F181" s="191">
        <v>0</v>
      </c>
      <c r="G181" s="286"/>
    </row>
    <row r="182" spans="1:24" ht="31.5" hidden="1">
      <c r="A182" s="138"/>
      <c r="B182" s="285" t="s">
        <v>591</v>
      </c>
      <c r="C182" s="396">
        <v>0</v>
      </c>
      <c r="D182" s="328"/>
      <c r="E182" s="284"/>
      <c r="F182" s="191"/>
      <c r="G182" s="286"/>
    </row>
    <row r="183" spans="1:24" ht="31.5" hidden="1">
      <c r="A183" s="138"/>
      <c r="B183" s="285" t="s">
        <v>592</v>
      </c>
      <c r="C183" s="395">
        <v>0</v>
      </c>
      <c r="D183" s="328"/>
      <c r="E183" s="284"/>
      <c r="F183" s="191"/>
      <c r="G183" s="286"/>
    </row>
    <row r="184" spans="1:24" ht="31.5" hidden="1">
      <c r="A184" s="138"/>
      <c r="B184" s="285" t="s">
        <v>593</v>
      </c>
      <c r="C184" s="396">
        <v>0</v>
      </c>
      <c r="D184" s="328"/>
      <c r="E184" s="284"/>
      <c r="F184" s="191"/>
      <c r="G184" s="286"/>
    </row>
    <row r="185" spans="1:24" s="548" customFormat="1" ht="42" customHeight="1">
      <c r="A185" s="209"/>
      <c r="B185" s="541" t="s">
        <v>589</v>
      </c>
      <c r="C185" s="328"/>
      <c r="D185" s="328"/>
      <c r="E185" s="284"/>
      <c r="F185" s="191"/>
      <c r="G185" s="452"/>
      <c r="H185" s="546"/>
      <c r="I185" s="547"/>
      <c r="J185" s="547"/>
      <c r="K185" s="547"/>
      <c r="L185" s="547"/>
      <c r="M185" s="547"/>
      <c r="N185" s="547"/>
      <c r="O185" s="547"/>
      <c r="P185" s="547"/>
      <c r="Q185" s="547"/>
      <c r="R185" s="547"/>
      <c r="S185" s="547"/>
      <c r="T185" s="547"/>
      <c r="U185" s="547"/>
      <c r="V185" s="547"/>
      <c r="W185" s="547"/>
      <c r="X185" s="547"/>
    </row>
    <row r="186" spans="1:24" s="548" customFormat="1" ht="126">
      <c r="A186" s="209"/>
      <c r="B186" s="285" t="s">
        <v>594</v>
      </c>
      <c r="C186" s="334">
        <f>'звіт ІІ кв'!E71</f>
        <v>300</v>
      </c>
      <c r="D186" s="334">
        <f>'звіт ІІ кв'!L71</f>
        <v>0</v>
      </c>
      <c r="E186" s="284">
        <f>D186-C186</f>
        <v>-300</v>
      </c>
      <c r="F186" s="191">
        <f>D186/C186*100</f>
        <v>0</v>
      </c>
      <c r="G186" s="442" t="s">
        <v>803</v>
      </c>
      <c r="H186" s="546"/>
      <c r="I186" s="547"/>
      <c r="J186" s="547"/>
      <c r="K186" s="547"/>
      <c r="L186" s="547"/>
      <c r="M186" s="547"/>
      <c r="N186" s="547"/>
      <c r="O186" s="547"/>
      <c r="P186" s="547"/>
      <c r="Q186" s="547"/>
      <c r="R186" s="547"/>
      <c r="S186" s="547"/>
      <c r="T186" s="547"/>
      <c r="U186" s="547"/>
      <c r="V186" s="547"/>
      <c r="W186" s="547"/>
      <c r="X186" s="547"/>
    </row>
    <row r="187" spans="1:24" s="548" customFormat="1" ht="31.5">
      <c r="A187" s="209"/>
      <c r="B187" s="285" t="s">
        <v>595</v>
      </c>
      <c r="C187" s="328">
        <v>10</v>
      </c>
      <c r="D187" s="328">
        <v>0</v>
      </c>
      <c r="E187" s="327">
        <f>D187-C187</f>
        <v>-10</v>
      </c>
      <c r="F187" s="191">
        <f>D187/C187*100</f>
        <v>0</v>
      </c>
      <c r="G187" s="442" t="s">
        <v>804</v>
      </c>
      <c r="H187" s="546"/>
      <c r="I187" s="547"/>
      <c r="J187" s="547"/>
      <c r="K187" s="547"/>
      <c r="L187" s="547"/>
      <c r="M187" s="547"/>
      <c r="N187" s="547"/>
      <c r="O187" s="547"/>
      <c r="P187" s="547"/>
      <c r="Q187" s="547"/>
      <c r="R187" s="547"/>
      <c r="S187" s="547"/>
      <c r="T187" s="547"/>
      <c r="U187" s="547"/>
      <c r="V187" s="547"/>
      <c r="W187" s="547"/>
      <c r="X187" s="547"/>
    </row>
    <row r="188" spans="1:24" s="548" customFormat="1" ht="47.25">
      <c r="A188" s="209"/>
      <c r="B188" s="285" t="s">
        <v>596</v>
      </c>
      <c r="C188" s="334">
        <f>C186/C187</f>
        <v>30</v>
      </c>
      <c r="D188" s="334">
        <v>0</v>
      </c>
      <c r="E188" s="284">
        <f>D188-C188</f>
        <v>-30</v>
      </c>
      <c r="F188" s="191">
        <f>D188/C188*100</f>
        <v>0</v>
      </c>
      <c r="G188" s="442" t="s">
        <v>777</v>
      </c>
      <c r="H188" s="546"/>
      <c r="I188" s="547"/>
      <c r="J188" s="547"/>
      <c r="K188" s="547"/>
      <c r="L188" s="547"/>
      <c r="M188" s="547"/>
      <c r="N188" s="547"/>
      <c r="O188" s="547"/>
      <c r="P188" s="547"/>
      <c r="Q188" s="547"/>
      <c r="R188" s="547"/>
      <c r="S188" s="547"/>
      <c r="T188" s="547"/>
      <c r="U188" s="547"/>
      <c r="V188" s="547"/>
      <c r="W188" s="547"/>
      <c r="X188" s="547"/>
    </row>
    <row r="189" spans="1:24" s="548" customFormat="1" ht="31.5">
      <c r="A189" s="209"/>
      <c r="B189" s="285" t="s">
        <v>597</v>
      </c>
      <c r="C189" s="328">
        <v>100</v>
      </c>
      <c r="D189" s="328">
        <v>0</v>
      </c>
      <c r="E189" s="327">
        <f>D189-C189</f>
        <v>-100</v>
      </c>
      <c r="F189" s="191">
        <f>D189/C189*100</f>
        <v>0</v>
      </c>
      <c r="G189" s="442" t="s">
        <v>804</v>
      </c>
      <c r="H189" s="546"/>
      <c r="I189" s="547"/>
      <c r="J189" s="547"/>
      <c r="K189" s="547"/>
      <c r="L189" s="547"/>
      <c r="M189" s="547"/>
      <c r="N189" s="547"/>
      <c r="O189" s="547"/>
      <c r="P189" s="547"/>
      <c r="Q189" s="547"/>
      <c r="R189" s="547"/>
      <c r="S189" s="547"/>
      <c r="T189" s="547"/>
      <c r="U189" s="547"/>
      <c r="V189" s="547"/>
      <c r="W189" s="547"/>
      <c r="X189" s="547"/>
    </row>
    <row r="190" spans="1:24" ht="33" customHeight="1">
      <c r="A190" s="225" t="s">
        <v>367</v>
      </c>
      <c r="B190" s="999" t="s">
        <v>510</v>
      </c>
      <c r="C190" s="1000"/>
      <c r="D190" s="1000"/>
      <c r="E190" s="1000"/>
      <c r="F190" s="1000"/>
      <c r="G190" s="1001"/>
    </row>
    <row r="191" spans="1:24" s="341" customFormat="1" ht="31.5">
      <c r="A191" s="393"/>
      <c r="B191" s="394" t="s">
        <v>516</v>
      </c>
      <c r="C191" s="334">
        <f>'звіт ІІ кв'!E72</f>
        <v>420</v>
      </c>
      <c r="D191" s="334">
        <f>'звіт ІІ кв'!K72</f>
        <v>0</v>
      </c>
      <c r="E191" s="423">
        <f>D191-C191</f>
        <v>-420</v>
      </c>
      <c r="F191" s="328">
        <f>D191/C191*100</f>
        <v>0</v>
      </c>
      <c r="G191" s="451" t="s">
        <v>613</v>
      </c>
      <c r="H191" s="340"/>
      <c r="I191" s="289"/>
      <c r="J191" s="289"/>
      <c r="K191" s="289"/>
      <c r="L191" s="289"/>
      <c r="M191" s="289"/>
      <c r="N191" s="289"/>
      <c r="O191" s="289"/>
      <c r="P191" s="289"/>
      <c r="Q191" s="289"/>
      <c r="R191" s="289"/>
      <c r="S191" s="289"/>
      <c r="T191" s="289"/>
      <c r="U191" s="289"/>
      <c r="V191" s="289"/>
      <c r="W191" s="289"/>
      <c r="X191" s="289"/>
    </row>
    <row r="192" spans="1:24" ht="47.25">
      <c r="A192" s="138"/>
      <c r="B192" s="285" t="s">
        <v>511</v>
      </c>
      <c r="C192" s="328">
        <v>15</v>
      </c>
      <c r="D192" s="328">
        <v>12</v>
      </c>
      <c r="E192" s="329">
        <f>D192-C192</f>
        <v>-3</v>
      </c>
      <c r="F192" s="329">
        <f>D192/C192*100</f>
        <v>80</v>
      </c>
      <c r="G192" s="442" t="s">
        <v>805</v>
      </c>
    </row>
    <row r="193" spans="1:24" ht="47.25">
      <c r="A193" s="138"/>
      <c r="B193" s="285" t="s">
        <v>512</v>
      </c>
      <c r="C193" s="334">
        <f>C191/C192</f>
        <v>28</v>
      </c>
      <c r="D193" s="334">
        <f>D191/D192</f>
        <v>0</v>
      </c>
      <c r="E193" s="335">
        <f>D193-C193</f>
        <v>-28</v>
      </c>
      <c r="F193" s="329">
        <f>D193/C193*100</f>
        <v>0</v>
      </c>
      <c r="G193" s="452" t="s">
        <v>606</v>
      </c>
    </row>
    <row r="194" spans="1:24" s="548" customFormat="1" ht="47.25">
      <c r="A194" s="209"/>
      <c r="B194" s="285" t="s">
        <v>513</v>
      </c>
      <c r="C194" s="419">
        <v>27</v>
      </c>
      <c r="D194" s="419">
        <f>584/9072*100</f>
        <v>6.4373897707231036</v>
      </c>
      <c r="E194" s="528">
        <f>D194-C194</f>
        <v>-20.562610229276896</v>
      </c>
      <c r="F194" s="329">
        <f>D194/C194*100</f>
        <v>23.842184336011496</v>
      </c>
      <c r="G194" s="442" t="s">
        <v>806</v>
      </c>
      <c r="H194" s="546"/>
      <c r="I194" s="547"/>
      <c r="J194" s="547"/>
      <c r="K194" s="547"/>
      <c r="L194" s="547"/>
      <c r="M194" s="547"/>
      <c r="N194" s="547"/>
      <c r="O194" s="547"/>
      <c r="P194" s="547"/>
      <c r="Q194" s="547"/>
      <c r="R194" s="547"/>
      <c r="S194" s="547"/>
      <c r="T194" s="547"/>
      <c r="U194" s="547"/>
      <c r="V194" s="547"/>
      <c r="W194" s="547"/>
      <c r="X194" s="547"/>
    </row>
    <row r="195" spans="1:24" ht="33.75" customHeight="1">
      <c r="A195" s="225" t="s">
        <v>514</v>
      </c>
      <c r="B195" s="999" t="s">
        <v>515</v>
      </c>
      <c r="C195" s="1000"/>
      <c r="D195" s="1000"/>
      <c r="E195" s="1000"/>
      <c r="F195" s="1000"/>
      <c r="G195" s="1001"/>
    </row>
    <row r="196" spans="1:24" s="341" customFormat="1" ht="94.5">
      <c r="A196" s="393"/>
      <c r="B196" s="394" t="s">
        <v>517</v>
      </c>
      <c r="C196" s="334">
        <f>'звіт ІІ кв'!E73</f>
        <v>6841</v>
      </c>
      <c r="D196" s="334">
        <f>'звіт ІІ кв'!I73</f>
        <v>1943.518</v>
      </c>
      <c r="E196" s="328">
        <f>D196-C196</f>
        <v>-4897.482</v>
      </c>
      <c r="F196" s="328">
        <f>D196/C196*100</f>
        <v>28.409852360765971</v>
      </c>
      <c r="G196" s="325" t="s">
        <v>807</v>
      </c>
      <c r="H196" s="340"/>
      <c r="I196" s="289"/>
      <c r="J196" s="289"/>
      <c r="K196" s="289"/>
      <c r="L196" s="289"/>
      <c r="M196" s="289"/>
      <c r="N196" s="289"/>
      <c r="O196" s="289"/>
      <c r="P196" s="289"/>
      <c r="Q196" s="289"/>
      <c r="R196" s="289"/>
      <c r="S196" s="289"/>
      <c r="T196" s="289"/>
      <c r="U196" s="289"/>
      <c r="V196" s="289"/>
      <c r="W196" s="289"/>
      <c r="X196" s="289"/>
    </row>
    <row r="197" spans="1:24" s="341" customFormat="1" ht="31.5">
      <c r="A197" s="393"/>
      <c r="B197" s="394" t="s">
        <v>518</v>
      </c>
      <c r="C197" s="328">
        <v>8950</v>
      </c>
      <c r="D197" s="328">
        <v>2093</v>
      </c>
      <c r="E197" s="328">
        <f>D197-C197</f>
        <v>-6857</v>
      </c>
      <c r="F197" s="328">
        <f>D197/C197*100</f>
        <v>23.385474860335194</v>
      </c>
      <c r="G197" s="443" t="s">
        <v>808</v>
      </c>
      <c r="H197" s="340"/>
      <c r="I197" s="289"/>
      <c r="J197" s="289"/>
      <c r="K197" s="289"/>
      <c r="L197" s="289"/>
      <c r="M197" s="289"/>
      <c r="N197" s="289"/>
      <c r="O197" s="289"/>
      <c r="P197" s="289"/>
      <c r="Q197" s="289"/>
      <c r="R197" s="289"/>
      <c r="S197" s="289"/>
      <c r="T197" s="289"/>
      <c r="U197" s="289"/>
      <c r="V197" s="289"/>
      <c r="W197" s="289"/>
      <c r="X197" s="289"/>
    </row>
    <row r="198" spans="1:24" s="341" customFormat="1" ht="31.5">
      <c r="A198" s="393"/>
      <c r="B198" s="394" t="s">
        <v>519</v>
      </c>
      <c r="C198" s="334">
        <f>C196/C197</f>
        <v>0.76435754189944138</v>
      </c>
      <c r="D198" s="334">
        <f>D196/D197</f>
        <v>0.92858002866698519</v>
      </c>
      <c r="E198" s="577">
        <f>D198-C198</f>
        <v>0.16422248676754381</v>
      </c>
      <c r="F198" s="328">
        <f>D198/C198*100</f>
        <v>121.48503517862179</v>
      </c>
      <c r="G198" s="443" t="s">
        <v>808</v>
      </c>
      <c r="H198" s="340"/>
      <c r="I198" s="289"/>
      <c r="J198" s="289"/>
      <c r="K198" s="289"/>
      <c r="L198" s="289"/>
      <c r="M198" s="289"/>
      <c r="N198" s="289"/>
      <c r="O198" s="289"/>
      <c r="P198" s="289"/>
      <c r="Q198" s="289"/>
      <c r="R198" s="289"/>
      <c r="S198" s="289"/>
      <c r="T198" s="289"/>
      <c r="U198" s="289"/>
      <c r="V198" s="289"/>
      <c r="W198" s="289"/>
      <c r="X198" s="289"/>
    </row>
    <row r="199" spans="1:24" s="341" customFormat="1" ht="63">
      <c r="A199" s="393"/>
      <c r="B199" s="394" t="s">
        <v>520</v>
      </c>
      <c r="C199" s="419">
        <v>50</v>
      </c>
      <c r="D199" s="419">
        <f>D197/13237*100</f>
        <v>15.811739820200952</v>
      </c>
      <c r="E199" s="419">
        <f>D199-C199</f>
        <v>-34.188260179799045</v>
      </c>
      <c r="F199" s="328">
        <f>D199/C199*100</f>
        <v>31.623479640401904</v>
      </c>
      <c r="G199" s="443" t="s">
        <v>809</v>
      </c>
      <c r="H199" s="340"/>
      <c r="I199" s="289"/>
      <c r="J199" s="289"/>
      <c r="K199" s="289"/>
      <c r="L199" s="289"/>
      <c r="M199" s="289"/>
      <c r="N199" s="289"/>
      <c r="O199" s="289"/>
      <c r="P199" s="289"/>
      <c r="Q199" s="289"/>
      <c r="R199" s="289"/>
      <c r="S199" s="289"/>
      <c r="T199" s="289"/>
      <c r="U199" s="289"/>
      <c r="V199" s="289"/>
      <c r="W199" s="289"/>
      <c r="X199" s="289"/>
    </row>
    <row r="200" spans="1:24" s="290" customFormat="1" ht="21.75" customHeight="1">
      <c r="A200" s="291" t="s">
        <v>379</v>
      </c>
      <c r="B200" s="1049" t="s">
        <v>154</v>
      </c>
      <c r="C200" s="1050"/>
      <c r="D200" s="1050"/>
      <c r="E200" s="1050"/>
      <c r="F200" s="1050"/>
      <c r="G200" s="1051"/>
      <c r="H200" s="324"/>
      <c r="I200" s="289"/>
      <c r="J200" s="587"/>
      <c r="K200" s="289"/>
      <c r="L200" s="289"/>
      <c r="M200" s="289"/>
      <c r="N200" s="288"/>
      <c r="O200" s="288"/>
      <c r="P200" s="288"/>
      <c r="Q200" s="288"/>
      <c r="R200" s="288"/>
      <c r="S200" s="288"/>
      <c r="T200" s="288"/>
      <c r="U200" s="288"/>
      <c r="V200" s="288"/>
      <c r="W200" s="288"/>
      <c r="X200" s="288"/>
    </row>
    <row r="201" spans="1:24" s="290" customFormat="1" ht="126">
      <c r="A201" s="291"/>
      <c r="B201" s="293" t="s">
        <v>521</v>
      </c>
      <c r="C201" s="108">
        <f>'звіт ІІ кв'!E75</f>
        <v>58952.05</v>
      </c>
      <c r="D201" s="108">
        <v>13280.322069999998</v>
      </c>
      <c r="E201" s="108">
        <f>D201-C201</f>
        <v>-45671.727930000008</v>
      </c>
      <c r="F201" s="360">
        <f>D201/C201*100</f>
        <v>22.527328684922743</v>
      </c>
      <c r="G201" s="325" t="s">
        <v>810</v>
      </c>
      <c r="H201" s="324"/>
      <c r="I201" s="289"/>
      <c r="J201" s="289"/>
      <c r="K201" s="289"/>
      <c r="L201" s="289"/>
      <c r="M201" s="289"/>
      <c r="N201" s="288"/>
      <c r="O201" s="288"/>
      <c r="P201" s="288"/>
      <c r="Q201" s="288"/>
      <c r="R201" s="288"/>
      <c r="S201" s="288"/>
      <c r="T201" s="288"/>
      <c r="U201" s="288"/>
      <c r="V201" s="288"/>
      <c r="W201" s="288"/>
      <c r="X201" s="288"/>
    </row>
    <row r="202" spans="1:24" s="198" customFormat="1" ht="20.25" customHeight="1">
      <c r="A202" s="205" t="s">
        <v>380</v>
      </c>
      <c r="B202" s="1004" t="s">
        <v>156</v>
      </c>
      <c r="C202" s="1005"/>
      <c r="D202" s="1005"/>
      <c r="E202" s="1005"/>
      <c r="F202" s="1005"/>
      <c r="G202" s="1006"/>
      <c r="H202" s="323"/>
      <c r="I202" s="124"/>
      <c r="J202" s="124"/>
      <c r="K202" s="124"/>
      <c r="L202" s="124"/>
      <c r="M202" s="124"/>
      <c r="N202" s="234"/>
      <c r="O202" s="234"/>
      <c r="P202" s="234"/>
      <c r="Q202" s="234"/>
      <c r="R202" s="234"/>
      <c r="S202" s="234"/>
      <c r="T202" s="234"/>
      <c r="U202" s="234"/>
      <c r="V202" s="234"/>
      <c r="W202" s="234"/>
      <c r="X202" s="234"/>
    </row>
    <row r="203" spans="1:24" s="580" customFormat="1" ht="20.25" customHeight="1">
      <c r="A203" s="235"/>
      <c r="B203" s="542" t="s">
        <v>522</v>
      </c>
      <c r="C203" s="292"/>
      <c r="D203" s="292"/>
      <c r="E203" s="542"/>
      <c r="F203" s="542"/>
      <c r="G203" s="542"/>
      <c r="H203" s="578"/>
      <c r="I203" s="547"/>
      <c r="J203" s="547"/>
      <c r="K203" s="547"/>
      <c r="L203" s="547"/>
      <c r="M203" s="547"/>
      <c r="N203" s="579"/>
      <c r="O203" s="579"/>
      <c r="P203" s="579"/>
      <c r="Q203" s="579"/>
      <c r="R203" s="579"/>
      <c r="S203" s="579"/>
      <c r="T203" s="579"/>
      <c r="U203" s="579"/>
      <c r="V203" s="579"/>
      <c r="W203" s="579"/>
      <c r="X203" s="579"/>
    </row>
    <row r="204" spans="1:24" s="580" customFormat="1" ht="47.25">
      <c r="A204" s="235"/>
      <c r="B204" s="193" t="s">
        <v>523</v>
      </c>
      <c r="C204" s="318">
        <v>13600</v>
      </c>
      <c r="D204" s="318">
        <f>3866+461</f>
        <v>4327</v>
      </c>
      <c r="E204" s="191">
        <f>D204-C204</f>
        <v>-9273</v>
      </c>
      <c r="F204" s="147">
        <f>D204/C204*100</f>
        <v>31.816176470588236</v>
      </c>
      <c r="G204" s="452" t="s">
        <v>811</v>
      </c>
      <c r="H204" s="578"/>
      <c r="I204" s="547"/>
      <c r="J204" s="547"/>
      <c r="K204" s="547"/>
      <c r="L204" s="547"/>
      <c r="M204" s="547"/>
      <c r="N204" s="579"/>
      <c r="O204" s="579"/>
      <c r="P204" s="579"/>
      <c r="Q204" s="579"/>
      <c r="R204" s="579"/>
      <c r="S204" s="579"/>
      <c r="T204" s="579"/>
      <c r="U204" s="579"/>
      <c r="V204" s="579"/>
      <c r="W204" s="579"/>
      <c r="X204" s="579"/>
    </row>
    <row r="205" spans="1:24" s="580" customFormat="1" ht="47.25">
      <c r="A205" s="235"/>
      <c r="B205" s="193" t="s">
        <v>524</v>
      </c>
      <c r="C205" s="318">
        <v>15000</v>
      </c>
      <c r="D205" s="318">
        <f>1510+4997</f>
        <v>6507</v>
      </c>
      <c r="E205" s="191">
        <f t="shared" ref="E205:E215" si="9">D205-C205</f>
        <v>-8493</v>
      </c>
      <c r="F205" s="192">
        <f t="shared" ref="F205:F215" si="10">D205/C205*100</f>
        <v>43.38</v>
      </c>
      <c r="G205" s="452" t="s">
        <v>811</v>
      </c>
      <c r="H205" s="578"/>
      <c r="I205" s="547"/>
      <c r="J205" s="547"/>
      <c r="K205" s="547"/>
      <c r="L205" s="547"/>
      <c r="M205" s="547"/>
      <c r="N205" s="579"/>
      <c r="O205" s="579"/>
      <c r="P205" s="579"/>
      <c r="Q205" s="579"/>
      <c r="R205" s="579"/>
      <c r="S205" s="579"/>
      <c r="T205" s="579"/>
      <c r="U205" s="579"/>
      <c r="V205" s="579"/>
      <c r="W205" s="579"/>
      <c r="X205" s="579"/>
    </row>
    <row r="206" spans="1:24" s="580" customFormat="1">
      <c r="A206" s="235"/>
      <c r="B206" s="542" t="s">
        <v>525</v>
      </c>
      <c r="C206" s="368"/>
      <c r="D206" s="318"/>
      <c r="E206" s="191"/>
      <c r="F206" s="191"/>
      <c r="G206" s="193"/>
      <c r="H206" s="581"/>
      <c r="I206" s="582"/>
      <c r="J206" s="582"/>
      <c r="K206" s="582"/>
      <c r="L206" s="582"/>
      <c r="M206" s="582"/>
      <c r="N206" s="583"/>
      <c r="O206" s="583"/>
      <c r="P206" s="583"/>
      <c r="Q206" s="583"/>
      <c r="R206" s="583"/>
      <c r="S206" s="583"/>
      <c r="T206" s="583"/>
      <c r="U206" s="583"/>
      <c r="V206" s="583"/>
      <c r="W206" s="583"/>
      <c r="X206" s="583"/>
    </row>
    <row r="207" spans="1:24" s="580" customFormat="1" ht="47.25">
      <c r="A207" s="235"/>
      <c r="B207" s="294" t="s">
        <v>529</v>
      </c>
      <c r="C207" s="421">
        <v>15000</v>
      </c>
      <c r="D207" s="318">
        <f>6091+3883</f>
        <v>9974</v>
      </c>
      <c r="E207" s="191">
        <f t="shared" si="9"/>
        <v>-5026</v>
      </c>
      <c r="F207" s="192">
        <f t="shared" si="10"/>
        <v>66.493333333333339</v>
      </c>
      <c r="G207" s="452" t="s">
        <v>811</v>
      </c>
      <c r="H207" s="581"/>
      <c r="I207" s="582"/>
      <c r="J207" s="582"/>
      <c r="K207" s="582"/>
      <c r="L207" s="582"/>
      <c r="M207" s="582"/>
      <c r="N207" s="583"/>
      <c r="O207" s="583"/>
      <c r="P207" s="583"/>
      <c r="Q207" s="583"/>
      <c r="R207" s="583"/>
      <c r="S207" s="583"/>
      <c r="T207" s="583"/>
      <c r="U207" s="583"/>
      <c r="V207" s="583"/>
      <c r="W207" s="583"/>
      <c r="X207" s="583"/>
    </row>
    <row r="208" spans="1:24" s="580" customFormat="1">
      <c r="A208" s="235"/>
      <c r="B208" s="542" t="s">
        <v>528</v>
      </c>
      <c r="C208" s="368"/>
      <c r="D208" s="318"/>
      <c r="E208" s="191"/>
      <c r="F208" s="191"/>
      <c r="G208" s="193"/>
      <c r="H208" s="581"/>
      <c r="I208" s="582"/>
      <c r="J208" s="582"/>
      <c r="K208" s="582"/>
      <c r="L208" s="582"/>
      <c r="M208" s="582"/>
      <c r="N208" s="583"/>
      <c r="O208" s="583"/>
      <c r="P208" s="583"/>
      <c r="Q208" s="583"/>
      <c r="R208" s="583"/>
      <c r="S208" s="583"/>
      <c r="T208" s="583"/>
      <c r="U208" s="583"/>
      <c r="V208" s="583"/>
      <c r="W208" s="583"/>
      <c r="X208" s="583"/>
    </row>
    <row r="209" spans="1:24" s="580" customFormat="1" ht="47.25">
      <c r="A209" s="235"/>
      <c r="B209" s="279" t="s">
        <v>530</v>
      </c>
      <c r="C209" s="422">
        <v>35800</v>
      </c>
      <c r="D209" s="318">
        <v>9830</v>
      </c>
      <c r="E209" s="191">
        <f t="shared" si="9"/>
        <v>-25970</v>
      </c>
      <c r="F209" s="192">
        <f t="shared" si="10"/>
        <v>27.458100558659215</v>
      </c>
      <c r="G209" s="452" t="s">
        <v>811</v>
      </c>
      <c r="H209" s="581"/>
      <c r="I209" s="582"/>
      <c r="J209" s="582"/>
      <c r="K209" s="582"/>
      <c r="L209" s="582"/>
      <c r="M209" s="582"/>
      <c r="N209" s="583"/>
      <c r="O209" s="583"/>
      <c r="P209" s="583"/>
      <c r="Q209" s="583"/>
      <c r="R209" s="583"/>
      <c r="S209" s="583"/>
      <c r="T209" s="583"/>
      <c r="U209" s="583"/>
      <c r="V209" s="583"/>
      <c r="W209" s="583"/>
      <c r="X209" s="583"/>
    </row>
    <row r="210" spans="1:24" s="580" customFormat="1">
      <c r="A210" s="235"/>
      <c r="B210" s="542" t="s">
        <v>526</v>
      </c>
      <c r="C210" s="368"/>
      <c r="D210" s="318"/>
      <c r="E210" s="191"/>
      <c r="F210" s="191"/>
      <c r="G210" s="193"/>
      <c r="H210" s="581"/>
      <c r="I210" s="582"/>
      <c r="J210" s="582"/>
      <c r="K210" s="582"/>
      <c r="L210" s="582"/>
      <c r="M210" s="582"/>
      <c r="N210" s="583"/>
      <c r="O210" s="583"/>
      <c r="P210" s="583"/>
      <c r="Q210" s="583"/>
      <c r="R210" s="583"/>
      <c r="S210" s="583"/>
      <c r="T210" s="583"/>
      <c r="U210" s="583"/>
      <c r="V210" s="583"/>
      <c r="W210" s="583"/>
      <c r="X210" s="583"/>
    </row>
    <row r="211" spans="1:24" s="580" customFormat="1" ht="47.25">
      <c r="A211" s="235"/>
      <c r="B211" s="279" t="s">
        <v>531</v>
      </c>
      <c r="C211" s="422">
        <v>35800</v>
      </c>
      <c r="D211" s="318">
        <v>5642</v>
      </c>
      <c r="E211" s="191">
        <f t="shared" si="9"/>
        <v>-30158</v>
      </c>
      <c r="F211" s="192">
        <f t="shared" si="10"/>
        <v>15.759776536312851</v>
      </c>
      <c r="G211" s="193" t="s">
        <v>811</v>
      </c>
      <c r="H211" s="581"/>
      <c r="I211" s="582"/>
      <c r="J211" s="582"/>
      <c r="K211" s="582"/>
      <c r="L211" s="582"/>
      <c r="M211" s="582"/>
      <c r="N211" s="583"/>
      <c r="O211" s="583"/>
      <c r="P211" s="583"/>
      <c r="Q211" s="583"/>
      <c r="R211" s="583"/>
      <c r="S211" s="583"/>
      <c r="T211" s="583"/>
      <c r="U211" s="583"/>
      <c r="V211" s="583"/>
      <c r="W211" s="583"/>
      <c r="X211" s="583"/>
    </row>
    <row r="212" spans="1:24" s="198" customFormat="1" ht="31.5">
      <c r="A212" s="235"/>
      <c r="B212" s="533" t="s">
        <v>527</v>
      </c>
      <c r="C212" s="368"/>
      <c r="D212" s="318"/>
      <c r="E212" s="191"/>
      <c r="F212" s="191"/>
      <c r="G212" s="193"/>
      <c r="H212" s="322"/>
      <c r="I212" s="278"/>
      <c r="J212" s="278"/>
      <c r="K212" s="278"/>
      <c r="L212" s="278"/>
      <c r="M212" s="278"/>
      <c r="N212" s="281"/>
      <c r="O212" s="281"/>
      <c r="P212" s="281"/>
      <c r="Q212" s="281"/>
      <c r="R212" s="281"/>
      <c r="S212" s="281"/>
      <c r="T212" s="281"/>
      <c r="U212" s="281"/>
      <c r="V212" s="281"/>
      <c r="W212" s="281"/>
      <c r="X212" s="281"/>
    </row>
    <row r="213" spans="1:24" s="198" customFormat="1" ht="47.25">
      <c r="A213" s="235"/>
      <c r="B213" s="280" t="s">
        <v>532</v>
      </c>
      <c r="C213" s="422">
        <v>1600</v>
      </c>
      <c r="D213" s="318">
        <v>1239</v>
      </c>
      <c r="E213" s="191">
        <f t="shared" si="9"/>
        <v>-361</v>
      </c>
      <c r="F213" s="192">
        <f t="shared" si="10"/>
        <v>77.4375</v>
      </c>
      <c r="G213" s="193" t="s">
        <v>603</v>
      </c>
      <c r="H213" s="322"/>
      <c r="I213" s="278"/>
      <c r="J213" s="278"/>
      <c r="K213" s="278"/>
      <c r="L213" s="278"/>
      <c r="M213" s="278"/>
      <c r="N213" s="281"/>
      <c r="O213" s="281"/>
      <c r="P213" s="281"/>
      <c r="Q213" s="281"/>
      <c r="R213" s="281"/>
      <c r="S213" s="281"/>
      <c r="T213" s="281"/>
      <c r="U213" s="281"/>
      <c r="V213" s="281"/>
      <c r="W213" s="281"/>
      <c r="X213" s="281"/>
    </row>
    <row r="214" spans="1:24" s="198" customFormat="1" ht="47.25">
      <c r="A214" s="235"/>
      <c r="B214" s="532" t="s">
        <v>533</v>
      </c>
      <c r="C214" s="330">
        <v>3.75</v>
      </c>
      <c r="D214" s="330">
        <f>D201/D169</f>
        <v>1.4638802987213402</v>
      </c>
      <c r="E214" s="203">
        <f t="shared" si="9"/>
        <v>-2.2861197012786598</v>
      </c>
      <c r="F214" s="192">
        <f t="shared" si="10"/>
        <v>39.036807965902405</v>
      </c>
      <c r="G214" s="193" t="s">
        <v>608</v>
      </c>
      <c r="H214" s="323"/>
      <c r="I214" s="124"/>
      <c r="J214" s="124"/>
      <c r="K214" s="124"/>
      <c r="L214" s="124"/>
      <c r="M214" s="124"/>
      <c r="N214" s="234"/>
      <c r="O214" s="234"/>
      <c r="P214" s="234"/>
      <c r="Q214" s="234"/>
      <c r="R214" s="234"/>
      <c r="S214" s="234"/>
      <c r="T214" s="234"/>
      <c r="U214" s="234"/>
      <c r="V214" s="234"/>
      <c r="W214" s="234"/>
      <c r="X214" s="234"/>
    </row>
    <row r="215" spans="1:24" s="198" customFormat="1" ht="54" customHeight="1">
      <c r="A215" s="235"/>
      <c r="B215" s="532" t="s">
        <v>534</v>
      </c>
      <c r="C215" s="318">
        <v>90</v>
      </c>
      <c r="D215" s="318">
        <v>77</v>
      </c>
      <c r="E215" s="584">
        <f t="shared" si="9"/>
        <v>-13</v>
      </c>
      <c r="F215" s="192">
        <f t="shared" si="10"/>
        <v>85.555555555555557</v>
      </c>
      <c r="G215" s="325" t="s">
        <v>812</v>
      </c>
      <c r="H215" s="323"/>
      <c r="I215" s="124"/>
      <c r="J215" s="124"/>
      <c r="K215" s="124"/>
      <c r="L215" s="124"/>
      <c r="M215" s="124"/>
      <c r="N215" s="234"/>
      <c r="O215" s="234"/>
      <c r="P215" s="234"/>
      <c r="Q215" s="234"/>
      <c r="R215" s="234"/>
      <c r="S215" s="234"/>
      <c r="T215" s="234"/>
      <c r="U215" s="234"/>
      <c r="V215" s="234"/>
      <c r="W215" s="234"/>
      <c r="X215" s="234"/>
    </row>
    <row r="216" spans="1:24">
      <c r="A216" s="205" t="s">
        <v>159</v>
      </c>
      <c r="B216" s="1004" t="s">
        <v>535</v>
      </c>
      <c r="C216" s="1005"/>
      <c r="D216" s="1005"/>
      <c r="E216" s="1005"/>
      <c r="F216" s="1005"/>
      <c r="G216" s="1006"/>
    </row>
    <row r="217" spans="1:24" ht="82.5" customHeight="1">
      <c r="A217" s="213"/>
      <c r="B217" s="534" t="s">
        <v>536</v>
      </c>
      <c r="C217" s="332">
        <v>1680</v>
      </c>
      <c r="D217" s="332">
        <v>944</v>
      </c>
      <c r="E217" s="143">
        <f>D217-C217</f>
        <v>-736</v>
      </c>
      <c r="F217" s="143">
        <f>D217/C217*100</f>
        <v>56.19047619047619</v>
      </c>
      <c r="G217" s="193" t="s">
        <v>813</v>
      </c>
    </row>
    <row r="218" spans="1:24" ht="110.25">
      <c r="A218" s="210"/>
      <c r="B218" s="534" t="s">
        <v>537</v>
      </c>
      <c r="C218" s="336">
        <v>92</v>
      </c>
      <c r="D218" s="336" t="s">
        <v>653</v>
      </c>
      <c r="E218" s="143" t="s">
        <v>653</v>
      </c>
      <c r="F218" s="143" t="s">
        <v>653</v>
      </c>
      <c r="G218" s="442" t="s">
        <v>707</v>
      </c>
    </row>
    <row r="219" spans="1:24" ht="36.75" customHeight="1">
      <c r="A219" s="208" t="s">
        <v>384</v>
      </c>
      <c r="B219" s="999" t="s">
        <v>538</v>
      </c>
      <c r="C219" s="1000"/>
      <c r="D219" s="1000"/>
      <c r="E219" s="1000"/>
      <c r="F219" s="1000"/>
      <c r="G219" s="1001"/>
    </row>
    <row r="220" spans="1:24" s="341" customFormat="1">
      <c r="A220" s="398"/>
      <c r="B220" s="453" t="s">
        <v>517</v>
      </c>
      <c r="C220" s="108">
        <f>'звіт ІІ кв'!E82</f>
        <v>288</v>
      </c>
      <c r="D220" s="391">
        <v>0</v>
      </c>
      <c r="E220" s="336">
        <f>D220-C220</f>
        <v>-288</v>
      </c>
      <c r="F220" s="332">
        <f>D220/C220*100</f>
        <v>0</v>
      </c>
      <c r="G220" s="443" t="s">
        <v>660</v>
      </c>
      <c r="H220" s="340"/>
      <c r="I220" s="289"/>
      <c r="J220" s="289"/>
      <c r="K220" s="289"/>
      <c r="L220" s="289"/>
      <c r="M220" s="289"/>
      <c r="N220" s="289"/>
      <c r="O220" s="289"/>
      <c r="P220" s="289"/>
      <c r="Q220" s="289"/>
      <c r="R220" s="289"/>
      <c r="S220" s="289"/>
      <c r="T220" s="289"/>
      <c r="U220" s="289"/>
      <c r="V220" s="289"/>
      <c r="W220" s="289"/>
      <c r="X220" s="289"/>
    </row>
    <row r="221" spans="1:24" ht="47.25">
      <c r="A221" s="207"/>
      <c r="B221" s="454" t="s">
        <v>675</v>
      </c>
      <c r="C221" s="318">
        <v>5</v>
      </c>
      <c r="D221" s="336">
        <v>0</v>
      </c>
      <c r="E221" s="117">
        <f>D221-C221</f>
        <v>-5</v>
      </c>
      <c r="F221" s="143">
        <f>D221/C221*100</f>
        <v>0</v>
      </c>
      <c r="G221" s="442" t="s">
        <v>685</v>
      </c>
    </row>
    <row r="222" spans="1:24" ht="31.5">
      <c r="A222" s="207"/>
      <c r="B222" s="454" t="s">
        <v>676</v>
      </c>
      <c r="C222" s="318">
        <f>C220/C221</f>
        <v>57.6</v>
      </c>
      <c r="D222" s="391">
        <v>0</v>
      </c>
      <c r="E222" s="117">
        <f>D222-C222</f>
        <v>-57.6</v>
      </c>
      <c r="F222" s="143">
        <f>D222/C222*100</f>
        <v>0</v>
      </c>
      <c r="G222" s="442" t="s">
        <v>685</v>
      </c>
    </row>
    <row r="223" spans="1:24" ht="47.25">
      <c r="A223" s="207"/>
      <c r="B223" s="454" t="s">
        <v>677</v>
      </c>
      <c r="C223" s="318">
        <v>16</v>
      </c>
      <c r="D223" s="336">
        <v>0</v>
      </c>
      <c r="E223" s="117">
        <f>D223-C223</f>
        <v>-16</v>
      </c>
      <c r="F223" s="143">
        <f>D223/C223*100</f>
        <v>0</v>
      </c>
      <c r="G223" s="442" t="s">
        <v>685</v>
      </c>
    </row>
    <row r="224" spans="1:24">
      <c r="A224" s="211" t="s">
        <v>163</v>
      </c>
      <c r="B224" s="996" t="s">
        <v>539</v>
      </c>
      <c r="C224" s="997"/>
      <c r="D224" s="997"/>
      <c r="E224" s="997"/>
      <c r="F224" s="997"/>
      <c r="G224" s="998"/>
    </row>
    <row r="225" spans="1:7" ht="78.75">
      <c r="A225" s="213"/>
      <c r="B225" s="534" t="s">
        <v>540</v>
      </c>
      <c r="C225" s="336">
        <v>20</v>
      </c>
      <c r="D225" s="336">
        <v>4</v>
      </c>
      <c r="E225" s="117">
        <f>D225-C225</f>
        <v>-16</v>
      </c>
      <c r="F225" s="143">
        <f>D225/C225*100</f>
        <v>20</v>
      </c>
      <c r="G225" s="442" t="s">
        <v>814</v>
      </c>
    </row>
    <row r="226" spans="1:7" ht="47.25">
      <c r="A226" s="209"/>
      <c r="B226" s="534" t="s">
        <v>541</v>
      </c>
      <c r="C226" s="336">
        <v>100</v>
      </c>
      <c r="D226" s="351">
        <v>100</v>
      </c>
      <c r="E226" s="236">
        <f>D226-C226</f>
        <v>0</v>
      </c>
      <c r="F226" s="143">
        <f>D226/C226*100</f>
        <v>100</v>
      </c>
      <c r="G226" s="442" t="s">
        <v>400</v>
      </c>
    </row>
    <row r="227" spans="1:7" ht="47.25">
      <c r="A227" s="210"/>
      <c r="B227" s="534" t="s">
        <v>236</v>
      </c>
      <c r="C227" s="336">
        <v>100</v>
      </c>
      <c r="D227" s="336">
        <v>100</v>
      </c>
      <c r="E227" s="117">
        <f>D227-C227</f>
        <v>0</v>
      </c>
      <c r="F227" s="143">
        <f>D227/C227*100</f>
        <v>100</v>
      </c>
      <c r="G227" s="442" t="s">
        <v>400</v>
      </c>
    </row>
    <row r="228" spans="1:7">
      <c r="A228" s="125"/>
    </row>
    <row r="229" spans="1:7">
      <c r="A229" s="125"/>
    </row>
    <row r="230" spans="1:7">
      <c r="A230" s="125"/>
      <c r="B230" s="237" t="s">
        <v>406</v>
      </c>
      <c r="C230" s="415" t="s">
        <v>407</v>
      </c>
    </row>
    <row r="231" spans="1:7" ht="43.5" customHeight="1">
      <c r="A231" s="125"/>
    </row>
    <row r="232" spans="1:7" ht="16.5" customHeight="1">
      <c r="A232" s="125"/>
      <c r="B232" s="237" t="s">
        <v>408</v>
      </c>
    </row>
    <row r="233" spans="1:7">
      <c r="A233" s="125"/>
    </row>
    <row r="234" spans="1:7">
      <c r="A234" s="125"/>
    </row>
    <row r="235" spans="1:7">
      <c r="A235" s="125"/>
    </row>
    <row r="236" spans="1:7">
      <c r="A236" s="125"/>
    </row>
    <row r="237" spans="1:7">
      <c r="A237" s="125"/>
    </row>
    <row r="238" spans="1:7">
      <c r="A238" s="125"/>
    </row>
    <row r="239" spans="1:7">
      <c r="A239" s="125"/>
    </row>
    <row r="240" spans="1:7">
      <c r="A240" s="125"/>
    </row>
    <row r="241" spans="1:1">
      <c r="A241" s="125"/>
    </row>
    <row r="242" spans="1:1">
      <c r="A242" s="125"/>
    </row>
    <row r="243" spans="1:1">
      <c r="A243" s="125"/>
    </row>
    <row r="244" spans="1:1">
      <c r="A244" s="125"/>
    </row>
    <row r="245" spans="1:1">
      <c r="A245" s="125"/>
    </row>
    <row r="246" spans="1:1">
      <c r="A246" s="125"/>
    </row>
    <row r="247" spans="1:1">
      <c r="A247" s="125"/>
    </row>
    <row r="248" spans="1:1">
      <c r="A248" s="125"/>
    </row>
    <row r="249" spans="1:1">
      <c r="A249" s="125"/>
    </row>
    <row r="250" spans="1:1">
      <c r="A250" s="125"/>
    </row>
    <row r="251" spans="1:1">
      <c r="A251" s="125"/>
    </row>
    <row r="252" spans="1:1">
      <c r="A252" s="125"/>
    </row>
    <row r="253" spans="1:1">
      <c r="A253" s="125"/>
    </row>
    <row r="254" spans="1:1">
      <c r="A254" s="125"/>
    </row>
    <row r="255" spans="1:1">
      <c r="A255" s="125"/>
    </row>
    <row r="256" spans="1:1">
      <c r="A256" s="125"/>
    </row>
    <row r="257" spans="1:1">
      <c r="A257" s="125"/>
    </row>
    <row r="258" spans="1:1">
      <c r="A258" s="125"/>
    </row>
    <row r="259" spans="1:1">
      <c r="A259" s="125"/>
    </row>
    <row r="260" spans="1:1">
      <c r="A260" s="125"/>
    </row>
    <row r="261" spans="1:1">
      <c r="A261" s="125"/>
    </row>
    <row r="262" spans="1:1">
      <c r="A262" s="125"/>
    </row>
    <row r="263" spans="1:1">
      <c r="A263" s="125"/>
    </row>
    <row r="264" spans="1:1">
      <c r="A264" s="125"/>
    </row>
    <row r="265" spans="1:1">
      <c r="A265" s="125"/>
    </row>
    <row r="266" spans="1:1">
      <c r="A266" s="125"/>
    </row>
    <row r="267" spans="1:1">
      <c r="A267" s="125"/>
    </row>
    <row r="268" spans="1:1">
      <c r="A268" s="125"/>
    </row>
    <row r="269" spans="1:1">
      <c r="A269" s="125"/>
    </row>
    <row r="270" spans="1:1">
      <c r="A270" s="125"/>
    </row>
    <row r="271" spans="1:1">
      <c r="A271" s="125"/>
    </row>
    <row r="272" spans="1:1">
      <c r="A272" s="125"/>
    </row>
    <row r="273" spans="1:1">
      <c r="A273" s="125"/>
    </row>
    <row r="274" spans="1:1">
      <c r="A274" s="125"/>
    </row>
    <row r="275" spans="1:1">
      <c r="A275" s="125"/>
    </row>
    <row r="276" spans="1:1">
      <c r="A276" s="125"/>
    </row>
    <row r="277" spans="1:1">
      <c r="A277" s="125"/>
    </row>
    <row r="278" spans="1:1">
      <c r="A278" s="125"/>
    </row>
    <row r="279" spans="1:1">
      <c r="A279" s="125"/>
    </row>
    <row r="280" spans="1:1">
      <c r="A280" s="125"/>
    </row>
    <row r="281" spans="1:1">
      <c r="A281" s="125"/>
    </row>
    <row r="282" spans="1:1">
      <c r="A282" s="125"/>
    </row>
    <row r="283" spans="1:1">
      <c r="A283" s="125"/>
    </row>
    <row r="284" spans="1:1">
      <c r="A284" s="125"/>
    </row>
    <row r="285" spans="1:1">
      <c r="A285" s="125"/>
    </row>
    <row r="286" spans="1:1">
      <c r="A286" s="125"/>
    </row>
    <row r="287" spans="1:1">
      <c r="A287" s="125"/>
    </row>
    <row r="288" spans="1:1">
      <c r="A288" s="125"/>
    </row>
    <row r="289" spans="1:1">
      <c r="A289" s="125"/>
    </row>
    <row r="290" spans="1:1">
      <c r="A290" s="125"/>
    </row>
    <row r="291" spans="1:1">
      <c r="A291" s="125"/>
    </row>
    <row r="292" spans="1:1">
      <c r="A292" s="125"/>
    </row>
    <row r="293" spans="1:1">
      <c r="A293" s="125"/>
    </row>
    <row r="294" spans="1:1">
      <c r="A294" s="125"/>
    </row>
    <row r="295" spans="1:1">
      <c r="A295" s="125"/>
    </row>
    <row r="296" spans="1:1">
      <c r="A296" s="125"/>
    </row>
    <row r="297" spans="1:1">
      <c r="A297" s="125"/>
    </row>
    <row r="298" spans="1:1">
      <c r="A298" s="125"/>
    </row>
    <row r="299" spans="1:1">
      <c r="A299" s="125"/>
    </row>
    <row r="300" spans="1:1">
      <c r="A300" s="125"/>
    </row>
    <row r="301" spans="1:1">
      <c r="A301" s="125"/>
    </row>
    <row r="302" spans="1:1">
      <c r="A302" s="125"/>
    </row>
    <row r="303" spans="1:1">
      <c r="A303" s="125"/>
    </row>
    <row r="304" spans="1:1">
      <c r="A304" s="125"/>
    </row>
    <row r="305" spans="1:1">
      <c r="A305" s="125"/>
    </row>
    <row r="306" spans="1:1">
      <c r="A306" s="125"/>
    </row>
    <row r="307" spans="1:1">
      <c r="A307" s="125"/>
    </row>
    <row r="308" spans="1:1">
      <c r="A308" s="125"/>
    </row>
    <row r="309" spans="1:1">
      <c r="A309" s="125"/>
    </row>
    <row r="310" spans="1:1">
      <c r="A310" s="125"/>
    </row>
    <row r="311" spans="1:1">
      <c r="A311" s="125"/>
    </row>
    <row r="312" spans="1:1">
      <c r="A312" s="125"/>
    </row>
    <row r="313" spans="1:1">
      <c r="A313" s="125"/>
    </row>
    <row r="314" spans="1:1">
      <c r="A314" s="125"/>
    </row>
    <row r="315" spans="1:1">
      <c r="A315" s="125"/>
    </row>
    <row r="316" spans="1:1">
      <c r="A316" s="125"/>
    </row>
    <row r="317" spans="1:1">
      <c r="A317" s="125"/>
    </row>
    <row r="318" spans="1:1">
      <c r="A318" s="125"/>
    </row>
    <row r="319" spans="1:1">
      <c r="A319" s="125"/>
    </row>
    <row r="320" spans="1:1">
      <c r="A320" s="125"/>
    </row>
    <row r="321" spans="1:1">
      <c r="A321" s="125"/>
    </row>
    <row r="322" spans="1:1">
      <c r="A322" s="125"/>
    </row>
    <row r="323" spans="1:1">
      <c r="A323" s="125"/>
    </row>
    <row r="324" spans="1:1">
      <c r="A324" s="125"/>
    </row>
    <row r="325" spans="1:1">
      <c r="A325" s="125"/>
    </row>
    <row r="326" spans="1:1">
      <c r="A326" s="125"/>
    </row>
    <row r="327" spans="1:1">
      <c r="A327" s="125"/>
    </row>
    <row r="328" spans="1:1">
      <c r="A328" s="125"/>
    </row>
    <row r="329" spans="1:1">
      <c r="A329" s="125"/>
    </row>
    <row r="330" spans="1:1">
      <c r="A330" s="125"/>
    </row>
    <row r="331" spans="1:1">
      <c r="A331" s="125"/>
    </row>
    <row r="332" spans="1:1">
      <c r="A332" s="125"/>
    </row>
    <row r="333" spans="1:1">
      <c r="A333" s="125"/>
    </row>
    <row r="334" spans="1:1">
      <c r="A334" s="125"/>
    </row>
    <row r="335" spans="1:1">
      <c r="A335" s="125"/>
    </row>
    <row r="336" spans="1:1">
      <c r="A336" s="125"/>
    </row>
    <row r="337" spans="1:1">
      <c r="A337" s="125"/>
    </row>
    <row r="338" spans="1:1">
      <c r="A338" s="125"/>
    </row>
    <row r="339" spans="1:1">
      <c r="A339" s="125"/>
    </row>
    <row r="340" spans="1:1">
      <c r="A340" s="125"/>
    </row>
    <row r="341" spans="1:1">
      <c r="A341" s="125"/>
    </row>
    <row r="342" spans="1:1">
      <c r="A342" s="125"/>
    </row>
    <row r="343" spans="1:1">
      <c r="A343" s="125"/>
    </row>
    <row r="344" spans="1:1">
      <c r="A344" s="125"/>
    </row>
    <row r="345" spans="1:1">
      <c r="A345" s="125"/>
    </row>
    <row r="346" spans="1:1">
      <c r="A346" s="125"/>
    </row>
    <row r="347" spans="1:1">
      <c r="A347" s="125"/>
    </row>
    <row r="348" spans="1:1">
      <c r="A348" s="125"/>
    </row>
    <row r="349" spans="1:1">
      <c r="A349" s="125"/>
    </row>
    <row r="350" spans="1:1">
      <c r="A350" s="125"/>
    </row>
    <row r="351" spans="1:1">
      <c r="A351" s="125"/>
    </row>
    <row r="352" spans="1:1">
      <c r="A352" s="125"/>
    </row>
    <row r="353" spans="1:1">
      <c r="A353" s="125"/>
    </row>
    <row r="354" spans="1:1">
      <c r="A354" s="125"/>
    </row>
    <row r="355" spans="1:1">
      <c r="A355" s="125"/>
    </row>
    <row r="356" spans="1:1">
      <c r="A356" s="125"/>
    </row>
    <row r="357" spans="1:1">
      <c r="A357" s="125"/>
    </row>
    <row r="358" spans="1:1">
      <c r="A358" s="125"/>
    </row>
    <row r="359" spans="1:1">
      <c r="A359" s="125"/>
    </row>
    <row r="360" spans="1:1">
      <c r="A360" s="125"/>
    </row>
    <row r="361" spans="1:1">
      <c r="A361" s="125"/>
    </row>
    <row r="362" spans="1:1">
      <c r="A362" s="125"/>
    </row>
    <row r="363" spans="1:1">
      <c r="A363" s="125"/>
    </row>
    <row r="364" spans="1:1">
      <c r="A364" s="125"/>
    </row>
    <row r="365" spans="1:1">
      <c r="A365" s="125"/>
    </row>
    <row r="366" spans="1:1">
      <c r="A366" s="125"/>
    </row>
    <row r="367" spans="1:1">
      <c r="A367" s="125"/>
    </row>
    <row r="368" spans="1:1">
      <c r="A368" s="125"/>
    </row>
    <row r="369" spans="1:1">
      <c r="A369" s="125"/>
    </row>
    <row r="370" spans="1:1">
      <c r="A370" s="125"/>
    </row>
    <row r="371" spans="1:1">
      <c r="A371" s="125"/>
    </row>
    <row r="372" spans="1:1">
      <c r="A372" s="125"/>
    </row>
    <row r="373" spans="1:1">
      <c r="A373" s="125"/>
    </row>
    <row r="374" spans="1:1">
      <c r="A374" s="125"/>
    </row>
    <row r="375" spans="1:1">
      <c r="A375" s="125"/>
    </row>
    <row r="376" spans="1:1">
      <c r="A376" s="125"/>
    </row>
    <row r="377" spans="1:1">
      <c r="A377" s="125"/>
    </row>
    <row r="378" spans="1:1">
      <c r="A378" s="125"/>
    </row>
    <row r="379" spans="1:1">
      <c r="A379" s="125"/>
    </row>
    <row r="380" spans="1:1">
      <c r="A380" s="125"/>
    </row>
    <row r="381" spans="1:1">
      <c r="A381" s="125"/>
    </row>
    <row r="382" spans="1:1">
      <c r="A382" s="125"/>
    </row>
    <row r="383" spans="1:1">
      <c r="A383" s="125"/>
    </row>
    <row r="384" spans="1:1">
      <c r="A384" s="125"/>
    </row>
    <row r="385" spans="1:1">
      <c r="A385" s="125"/>
    </row>
    <row r="386" spans="1:1">
      <c r="A386" s="125"/>
    </row>
    <row r="387" spans="1:1">
      <c r="A387" s="125"/>
    </row>
    <row r="388" spans="1:1">
      <c r="A388" s="125"/>
    </row>
    <row r="389" spans="1:1">
      <c r="A389" s="125"/>
    </row>
    <row r="390" spans="1:1">
      <c r="A390" s="125"/>
    </row>
    <row r="391" spans="1:1">
      <c r="A391" s="125"/>
    </row>
    <row r="392" spans="1:1">
      <c r="A392" s="125"/>
    </row>
    <row r="393" spans="1:1">
      <c r="A393" s="125"/>
    </row>
    <row r="394" spans="1:1">
      <c r="A394" s="125"/>
    </row>
    <row r="395" spans="1:1">
      <c r="A395" s="125"/>
    </row>
    <row r="396" spans="1:1">
      <c r="A396" s="125"/>
    </row>
    <row r="397" spans="1:1">
      <c r="A397" s="125"/>
    </row>
    <row r="398" spans="1:1">
      <c r="A398" s="125"/>
    </row>
    <row r="399" spans="1:1">
      <c r="A399" s="125"/>
    </row>
    <row r="400" spans="1:1">
      <c r="A400" s="125"/>
    </row>
    <row r="401" spans="1:1">
      <c r="A401" s="125"/>
    </row>
    <row r="402" spans="1:1">
      <c r="A402" s="125"/>
    </row>
    <row r="403" spans="1:1">
      <c r="A403" s="125"/>
    </row>
    <row r="404" spans="1:1">
      <c r="A404" s="125"/>
    </row>
    <row r="405" spans="1:1">
      <c r="A405" s="125"/>
    </row>
    <row r="406" spans="1:1">
      <c r="A406" s="125"/>
    </row>
    <row r="407" spans="1:1">
      <c r="A407" s="125"/>
    </row>
    <row r="408" spans="1:1">
      <c r="A408" s="125"/>
    </row>
    <row r="409" spans="1:1">
      <c r="A409" s="125"/>
    </row>
    <row r="410" spans="1:1">
      <c r="A410" s="125"/>
    </row>
    <row r="411" spans="1:1">
      <c r="A411" s="125"/>
    </row>
    <row r="412" spans="1:1">
      <c r="A412" s="125"/>
    </row>
    <row r="413" spans="1:1">
      <c r="A413" s="125"/>
    </row>
    <row r="414" spans="1:1">
      <c r="A414" s="125"/>
    </row>
    <row r="415" spans="1:1">
      <c r="A415" s="125"/>
    </row>
    <row r="416" spans="1:1">
      <c r="A416" s="125"/>
    </row>
    <row r="417" spans="1:1">
      <c r="A417" s="125"/>
    </row>
    <row r="418" spans="1:1">
      <c r="A418" s="125"/>
    </row>
    <row r="419" spans="1:1">
      <c r="A419" s="125"/>
    </row>
    <row r="420" spans="1:1">
      <c r="A420" s="125"/>
    </row>
    <row r="421" spans="1:1">
      <c r="A421" s="125"/>
    </row>
    <row r="422" spans="1:1">
      <c r="A422" s="125"/>
    </row>
    <row r="423" spans="1:1">
      <c r="A423" s="125"/>
    </row>
    <row r="424" spans="1:1">
      <c r="A424" s="125"/>
    </row>
    <row r="425" spans="1:1">
      <c r="A425" s="125"/>
    </row>
    <row r="426" spans="1:1">
      <c r="A426" s="125"/>
    </row>
    <row r="427" spans="1:1">
      <c r="A427" s="125"/>
    </row>
    <row r="428" spans="1:1">
      <c r="A428" s="125"/>
    </row>
    <row r="429" spans="1:1">
      <c r="A429" s="125"/>
    </row>
    <row r="430" spans="1:1">
      <c r="A430" s="125"/>
    </row>
    <row r="431" spans="1:1">
      <c r="A431" s="125"/>
    </row>
    <row r="432" spans="1:1">
      <c r="A432" s="125"/>
    </row>
    <row r="433" spans="1:1">
      <c r="A433" s="125"/>
    </row>
    <row r="434" spans="1:1">
      <c r="A434" s="125"/>
    </row>
    <row r="435" spans="1:1">
      <c r="A435" s="125"/>
    </row>
    <row r="436" spans="1:1">
      <c r="A436" s="125"/>
    </row>
    <row r="437" spans="1:1">
      <c r="A437" s="125"/>
    </row>
    <row r="438" spans="1:1">
      <c r="A438" s="125"/>
    </row>
    <row r="439" spans="1:1">
      <c r="A439" s="125"/>
    </row>
    <row r="440" spans="1:1">
      <c r="A440" s="125"/>
    </row>
    <row r="441" spans="1:1">
      <c r="A441" s="125"/>
    </row>
    <row r="442" spans="1:1">
      <c r="A442" s="125"/>
    </row>
    <row r="443" spans="1:1">
      <c r="A443" s="125"/>
    </row>
    <row r="444" spans="1:1">
      <c r="A444" s="125"/>
    </row>
    <row r="445" spans="1:1">
      <c r="A445" s="125"/>
    </row>
    <row r="446" spans="1:1">
      <c r="A446" s="125"/>
    </row>
    <row r="447" spans="1:1">
      <c r="A447" s="125"/>
    </row>
    <row r="448" spans="1:1">
      <c r="A448" s="125"/>
    </row>
    <row r="449" spans="1:1">
      <c r="A449" s="125"/>
    </row>
    <row r="450" spans="1:1">
      <c r="A450" s="125"/>
    </row>
    <row r="451" spans="1:1">
      <c r="A451" s="125"/>
    </row>
    <row r="452" spans="1:1">
      <c r="A452" s="125"/>
    </row>
    <row r="453" spans="1:1">
      <c r="A453" s="125"/>
    </row>
    <row r="454" spans="1:1">
      <c r="A454" s="125"/>
    </row>
    <row r="455" spans="1:1">
      <c r="A455" s="125"/>
    </row>
    <row r="456" spans="1:1">
      <c r="A456" s="125"/>
    </row>
    <row r="457" spans="1:1">
      <c r="A457" s="125"/>
    </row>
    <row r="458" spans="1:1">
      <c r="A458" s="125"/>
    </row>
    <row r="459" spans="1:1">
      <c r="A459" s="125"/>
    </row>
    <row r="460" spans="1:1">
      <c r="A460" s="125"/>
    </row>
    <row r="461" spans="1:1">
      <c r="A461" s="125"/>
    </row>
    <row r="462" spans="1:1">
      <c r="A462" s="125"/>
    </row>
    <row r="463" spans="1:1">
      <c r="A463" s="125"/>
    </row>
    <row r="464" spans="1:1">
      <c r="A464" s="125"/>
    </row>
    <row r="465" spans="1:1">
      <c r="A465" s="125"/>
    </row>
    <row r="466" spans="1:1">
      <c r="A466" s="125"/>
    </row>
    <row r="467" spans="1:1">
      <c r="A467" s="125"/>
    </row>
    <row r="468" spans="1:1">
      <c r="A468" s="125"/>
    </row>
    <row r="469" spans="1:1">
      <c r="A469" s="125"/>
    </row>
    <row r="470" spans="1:1">
      <c r="A470" s="125"/>
    </row>
    <row r="471" spans="1:1">
      <c r="A471" s="125"/>
    </row>
    <row r="472" spans="1:1">
      <c r="A472" s="125"/>
    </row>
    <row r="473" spans="1:1">
      <c r="A473" s="125"/>
    </row>
    <row r="474" spans="1:1">
      <c r="A474" s="125"/>
    </row>
    <row r="475" spans="1:1">
      <c r="A475" s="125"/>
    </row>
    <row r="476" spans="1:1">
      <c r="A476" s="125"/>
    </row>
    <row r="477" spans="1:1">
      <c r="A477" s="125"/>
    </row>
    <row r="478" spans="1:1">
      <c r="A478" s="125"/>
    </row>
    <row r="479" spans="1:1">
      <c r="A479" s="125"/>
    </row>
    <row r="480" spans="1:1">
      <c r="A480" s="125"/>
    </row>
    <row r="481" spans="1:1">
      <c r="A481" s="125"/>
    </row>
    <row r="482" spans="1:1">
      <c r="A482" s="125"/>
    </row>
    <row r="483" spans="1:1">
      <c r="A483" s="125"/>
    </row>
    <row r="484" spans="1:1">
      <c r="A484" s="125"/>
    </row>
    <row r="485" spans="1:1">
      <c r="A485" s="125"/>
    </row>
    <row r="486" spans="1:1">
      <c r="A486" s="125"/>
    </row>
    <row r="487" spans="1:1">
      <c r="A487" s="125"/>
    </row>
    <row r="488" spans="1:1">
      <c r="A488" s="125"/>
    </row>
    <row r="489" spans="1:1">
      <c r="A489" s="125"/>
    </row>
    <row r="490" spans="1:1">
      <c r="A490" s="125"/>
    </row>
    <row r="491" spans="1:1">
      <c r="A491" s="125"/>
    </row>
    <row r="492" spans="1:1">
      <c r="A492" s="125"/>
    </row>
    <row r="493" spans="1:1">
      <c r="A493" s="125"/>
    </row>
    <row r="494" spans="1:1">
      <c r="A494" s="125"/>
    </row>
    <row r="495" spans="1:1">
      <c r="A495" s="125"/>
    </row>
    <row r="496" spans="1:1">
      <c r="A496" s="125"/>
    </row>
    <row r="497" spans="1:1">
      <c r="A497" s="125"/>
    </row>
    <row r="498" spans="1:1">
      <c r="A498" s="125"/>
    </row>
    <row r="499" spans="1:1">
      <c r="A499" s="125"/>
    </row>
    <row r="500" spans="1:1">
      <c r="A500" s="125"/>
    </row>
    <row r="501" spans="1:1">
      <c r="A501" s="125"/>
    </row>
    <row r="502" spans="1:1">
      <c r="A502" s="125"/>
    </row>
    <row r="503" spans="1:1">
      <c r="A503" s="125"/>
    </row>
    <row r="504" spans="1:1">
      <c r="A504" s="125"/>
    </row>
    <row r="505" spans="1:1">
      <c r="A505" s="125"/>
    </row>
    <row r="506" spans="1:1">
      <c r="A506" s="125"/>
    </row>
    <row r="507" spans="1:1">
      <c r="A507" s="125"/>
    </row>
    <row r="508" spans="1:1">
      <c r="A508" s="125"/>
    </row>
    <row r="509" spans="1:1">
      <c r="A509" s="125"/>
    </row>
    <row r="510" spans="1:1">
      <c r="A510" s="125"/>
    </row>
    <row r="511" spans="1:1">
      <c r="A511" s="125"/>
    </row>
    <row r="512" spans="1:1">
      <c r="A512" s="125"/>
    </row>
    <row r="513" spans="1:1">
      <c r="A513" s="125"/>
    </row>
    <row r="514" spans="1:1">
      <c r="A514" s="125"/>
    </row>
    <row r="515" spans="1:1">
      <c r="A515" s="125"/>
    </row>
    <row r="516" spans="1:1">
      <c r="A516" s="125"/>
    </row>
    <row r="517" spans="1:1">
      <c r="A517" s="125"/>
    </row>
    <row r="518" spans="1:1">
      <c r="A518" s="125"/>
    </row>
    <row r="519" spans="1:1">
      <c r="A519" s="125"/>
    </row>
    <row r="520" spans="1:1">
      <c r="A520" s="125"/>
    </row>
    <row r="521" spans="1:1">
      <c r="A521" s="125"/>
    </row>
    <row r="522" spans="1:1">
      <c r="A522" s="125"/>
    </row>
    <row r="523" spans="1:1">
      <c r="A523" s="125"/>
    </row>
    <row r="524" spans="1:1">
      <c r="A524" s="125"/>
    </row>
    <row r="525" spans="1:1">
      <c r="A525" s="125"/>
    </row>
    <row r="526" spans="1:1">
      <c r="A526" s="125"/>
    </row>
    <row r="527" spans="1:1">
      <c r="A527" s="125"/>
    </row>
    <row r="528" spans="1:1">
      <c r="A528" s="125"/>
    </row>
    <row r="529" spans="1:1">
      <c r="A529" s="125"/>
    </row>
    <row r="530" spans="1:1">
      <c r="A530" s="125"/>
    </row>
    <row r="531" spans="1:1">
      <c r="A531" s="125"/>
    </row>
    <row r="532" spans="1:1">
      <c r="A532" s="125"/>
    </row>
    <row r="533" spans="1:1">
      <c r="A533" s="125"/>
    </row>
    <row r="534" spans="1:1">
      <c r="A534" s="125"/>
    </row>
    <row r="535" spans="1:1">
      <c r="A535" s="125"/>
    </row>
    <row r="536" spans="1:1">
      <c r="A536" s="125"/>
    </row>
    <row r="537" spans="1:1">
      <c r="A537" s="125"/>
    </row>
    <row r="538" spans="1:1">
      <c r="A538" s="125"/>
    </row>
    <row r="539" spans="1:1">
      <c r="A539" s="125"/>
    </row>
    <row r="540" spans="1:1">
      <c r="A540" s="125"/>
    </row>
    <row r="541" spans="1:1">
      <c r="A541" s="125"/>
    </row>
    <row r="542" spans="1:1">
      <c r="A542" s="125"/>
    </row>
    <row r="543" spans="1:1">
      <c r="A543" s="125"/>
    </row>
    <row r="544" spans="1:1">
      <c r="A544" s="125"/>
    </row>
    <row r="545" spans="1:1">
      <c r="A545" s="125"/>
    </row>
    <row r="546" spans="1:1">
      <c r="A546" s="125"/>
    </row>
    <row r="547" spans="1:1">
      <c r="A547" s="125"/>
    </row>
    <row r="548" spans="1:1">
      <c r="A548" s="125"/>
    </row>
    <row r="549" spans="1:1">
      <c r="A549" s="125"/>
    </row>
    <row r="550" spans="1:1">
      <c r="A550" s="125"/>
    </row>
    <row r="551" spans="1:1">
      <c r="A551" s="125"/>
    </row>
    <row r="552" spans="1:1">
      <c r="A552" s="125"/>
    </row>
    <row r="553" spans="1:1">
      <c r="A553" s="125"/>
    </row>
    <row r="554" spans="1:1">
      <c r="A554" s="125"/>
    </row>
    <row r="555" spans="1:1">
      <c r="A555" s="125"/>
    </row>
    <row r="556" spans="1:1">
      <c r="A556" s="125"/>
    </row>
    <row r="557" spans="1:1">
      <c r="A557" s="125"/>
    </row>
    <row r="558" spans="1:1">
      <c r="A558" s="125"/>
    </row>
    <row r="559" spans="1:1">
      <c r="A559" s="125"/>
    </row>
    <row r="560" spans="1:1">
      <c r="A560" s="125"/>
    </row>
    <row r="561" spans="1:1">
      <c r="A561" s="125"/>
    </row>
    <row r="562" spans="1:1">
      <c r="A562" s="125"/>
    </row>
    <row r="563" spans="1:1">
      <c r="A563" s="125"/>
    </row>
    <row r="564" spans="1:1">
      <c r="A564" s="125"/>
    </row>
    <row r="565" spans="1:1">
      <c r="A565" s="125"/>
    </row>
    <row r="566" spans="1:1">
      <c r="A566" s="125"/>
    </row>
    <row r="567" spans="1:1">
      <c r="A567" s="125"/>
    </row>
    <row r="568" spans="1:1">
      <c r="A568" s="125"/>
    </row>
    <row r="569" spans="1:1">
      <c r="A569" s="125"/>
    </row>
    <row r="570" spans="1:1">
      <c r="A570" s="125"/>
    </row>
    <row r="571" spans="1:1">
      <c r="A571" s="125"/>
    </row>
    <row r="572" spans="1:1">
      <c r="A572" s="125"/>
    </row>
    <row r="573" spans="1:1">
      <c r="A573" s="125"/>
    </row>
    <row r="574" spans="1:1">
      <c r="A574" s="125"/>
    </row>
    <row r="575" spans="1:1">
      <c r="A575" s="125"/>
    </row>
    <row r="576" spans="1:1">
      <c r="A576" s="125"/>
    </row>
    <row r="577" spans="1:1">
      <c r="A577" s="125"/>
    </row>
    <row r="578" spans="1:1">
      <c r="A578" s="125"/>
    </row>
    <row r="579" spans="1:1">
      <c r="A579" s="125"/>
    </row>
    <row r="580" spans="1:1">
      <c r="A580" s="125"/>
    </row>
    <row r="581" spans="1:1">
      <c r="A581" s="125"/>
    </row>
    <row r="582" spans="1:1">
      <c r="A582" s="125"/>
    </row>
    <row r="583" spans="1:1">
      <c r="A583" s="125"/>
    </row>
    <row r="584" spans="1:1">
      <c r="A584" s="125"/>
    </row>
    <row r="585" spans="1:1">
      <c r="A585" s="125"/>
    </row>
    <row r="586" spans="1:1">
      <c r="A586" s="125"/>
    </row>
    <row r="587" spans="1:1">
      <c r="A587" s="125"/>
    </row>
    <row r="588" spans="1:1">
      <c r="A588" s="125"/>
    </row>
    <row r="589" spans="1:1">
      <c r="A589" s="125"/>
    </row>
    <row r="590" spans="1:1">
      <c r="A590" s="125"/>
    </row>
    <row r="591" spans="1:1">
      <c r="A591" s="125"/>
    </row>
    <row r="592" spans="1:1">
      <c r="A592" s="125"/>
    </row>
    <row r="593" spans="1:1">
      <c r="A593" s="125"/>
    </row>
    <row r="594" spans="1:1">
      <c r="A594" s="125"/>
    </row>
    <row r="595" spans="1:1">
      <c r="A595" s="125"/>
    </row>
    <row r="596" spans="1:1">
      <c r="A596" s="125"/>
    </row>
    <row r="597" spans="1:1">
      <c r="A597" s="125"/>
    </row>
    <row r="598" spans="1:1">
      <c r="A598" s="125"/>
    </row>
    <row r="599" spans="1:1">
      <c r="A599" s="125"/>
    </row>
    <row r="600" spans="1:1">
      <c r="A600" s="125"/>
    </row>
    <row r="601" spans="1:1">
      <c r="A601" s="125"/>
    </row>
    <row r="602" spans="1:1">
      <c r="A602" s="125"/>
    </row>
    <row r="603" spans="1:1">
      <c r="A603" s="125"/>
    </row>
    <row r="604" spans="1:1">
      <c r="A604" s="125"/>
    </row>
    <row r="605" spans="1:1">
      <c r="A605" s="125"/>
    </row>
    <row r="606" spans="1:1">
      <c r="A606" s="125"/>
    </row>
    <row r="607" spans="1:1">
      <c r="A607" s="125"/>
    </row>
    <row r="608" spans="1:1">
      <c r="A608" s="125"/>
    </row>
    <row r="609" spans="1:1">
      <c r="A609" s="125"/>
    </row>
  </sheetData>
  <mergeCells count="44">
    <mergeCell ref="B224:G224"/>
    <mergeCell ref="B195:G195"/>
    <mergeCell ref="B200:G200"/>
    <mergeCell ref="B202:G202"/>
    <mergeCell ref="B216:G216"/>
    <mergeCell ref="B219:G219"/>
    <mergeCell ref="B160:G160"/>
    <mergeCell ref="B165:G165"/>
    <mergeCell ref="B166:G166"/>
    <mergeCell ref="B179:G179"/>
    <mergeCell ref="B190:G190"/>
    <mergeCell ref="B110:G110"/>
    <mergeCell ref="B111:G111"/>
    <mergeCell ref="B136:G136"/>
    <mergeCell ref="B141:G141"/>
    <mergeCell ref="B146:G146"/>
    <mergeCell ref="B90:G90"/>
    <mergeCell ref="B95:G95"/>
    <mergeCell ref="B98:G98"/>
    <mergeCell ref="B100:G100"/>
    <mergeCell ref="B105:G105"/>
    <mergeCell ref="B64:G64"/>
    <mergeCell ref="B74:G74"/>
    <mergeCell ref="B79:G79"/>
    <mergeCell ref="B80:G80"/>
    <mergeCell ref="B87:G87"/>
    <mergeCell ref="B33:G33"/>
    <mergeCell ref="B36:G36"/>
    <mergeCell ref="B41:G41"/>
    <mergeCell ref="B46:G46"/>
    <mergeCell ref="B51:G51"/>
    <mergeCell ref="B14:G14"/>
    <mergeCell ref="B15:G15"/>
    <mergeCell ref="B20:G20"/>
    <mergeCell ref="B25:G25"/>
    <mergeCell ref="B30:G30"/>
    <mergeCell ref="A8:G8"/>
    <mergeCell ref="A9:G9"/>
    <mergeCell ref="A11:A12"/>
    <mergeCell ref="B11:B12"/>
    <mergeCell ref="C11:D11"/>
    <mergeCell ref="E11:E12"/>
    <mergeCell ref="F11:F12"/>
    <mergeCell ref="G11:G12"/>
  </mergeCells>
  <pageMargins left="0.7" right="0.7" top="0.75" bottom="0.75" header="0.3" footer="0.3"/>
  <pageSetup paperSize="9" scale="75" orientation="landscape" r:id="rId1"/>
  <ignoredErrors>
    <ignoredError sqref="E123" emptyCellReference="1"/>
  </ignoredErrors>
</worksheet>
</file>

<file path=xl/worksheets/sheet13.xml><?xml version="1.0" encoding="utf-8"?>
<worksheet xmlns="http://schemas.openxmlformats.org/spreadsheetml/2006/main" xmlns:r="http://schemas.openxmlformats.org/officeDocument/2006/relationships">
  <dimension ref="A1:BQ474"/>
  <sheetViews>
    <sheetView zoomScale="90" zoomScaleNormal="90" workbookViewId="0">
      <pane ySplit="10" topLeftCell="A32" activePane="bottomLeft" state="frozen"/>
      <selection activeCell="P17" sqref="P17"/>
      <selection pane="bottomLeft" activeCell="B94" sqref="B94"/>
    </sheetView>
  </sheetViews>
  <sheetFormatPr defaultRowHeight="15.75"/>
  <cols>
    <col min="1" max="1" width="6.42578125" style="588" customWidth="1"/>
    <col min="2" max="2" width="36.7109375" style="589" customWidth="1"/>
    <col min="3" max="3" width="26.140625" style="589" customWidth="1"/>
    <col min="4" max="4" width="14" style="590" customWidth="1"/>
    <col min="5" max="5" width="14.140625" style="591" customWidth="1"/>
    <col min="6" max="6" width="13" style="591" customWidth="1"/>
    <col min="7" max="7" width="13.5703125" style="591" customWidth="1"/>
    <col min="8" max="8" width="14" style="591" customWidth="1"/>
    <col min="9" max="9" width="15.42578125" style="736" customWidth="1"/>
    <col min="10" max="10" width="13" style="591" customWidth="1"/>
    <col min="11" max="11" width="11.85546875" style="591" customWidth="1"/>
    <col min="12" max="12" width="13" style="591" customWidth="1"/>
    <col min="13" max="13" width="16.42578125" style="592" customWidth="1"/>
    <col min="14" max="14" width="14.42578125" style="592" bestFit="1" customWidth="1"/>
    <col min="15" max="69" width="9.140625" style="592"/>
    <col min="70" max="16384" width="9.140625" style="589"/>
  </cols>
  <sheetData>
    <row r="1" spans="1:69">
      <c r="J1" s="125" t="s">
        <v>942</v>
      </c>
    </row>
    <row r="2" spans="1:69">
      <c r="J2" s="125" t="s">
        <v>610</v>
      </c>
    </row>
    <row r="3" spans="1:69">
      <c r="J3" s="125" t="s">
        <v>611</v>
      </c>
    </row>
    <row r="4" spans="1:69">
      <c r="J4" s="125" t="s">
        <v>612</v>
      </c>
    </row>
    <row r="6" spans="1:69" ht="15.75" customHeight="1">
      <c r="A6" s="1073" t="s">
        <v>818</v>
      </c>
      <c r="B6" s="1073"/>
      <c r="C6" s="1073"/>
      <c r="D6" s="1073"/>
      <c r="E6" s="1073"/>
      <c r="F6" s="1073"/>
      <c r="G6" s="1073"/>
      <c r="H6" s="1073"/>
      <c r="I6" s="1073"/>
      <c r="J6" s="1073"/>
      <c r="K6" s="1073"/>
      <c r="L6" s="1073"/>
    </row>
    <row r="8" spans="1:69" s="594" customFormat="1" ht="25.5" customHeight="1">
      <c r="A8" s="1074" t="s">
        <v>26</v>
      </c>
      <c r="B8" s="1075" t="s">
        <v>37</v>
      </c>
      <c r="C8" s="1075" t="s">
        <v>38</v>
      </c>
      <c r="D8" s="1075" t="s">
        <v>39</v>
      </c>
      <c r="E8" s="1076" t="s">
        <v>45</v>
      </c>
      <c r="F8" s="1076"/>
      <c r="G8" s="1076"/>
      <c r="H8" s="1076"/>
      <c r="I8" s="1076" t="s">
        <v>40</v>
      </c>
      <c r="J8" s="1076"/>
      <c r="K8" s="1076"/>
      <c r="L8" s="1076"/>
      <c r="M8" s="593"/>
      <c r="N8" s="593"/>
      <c r="O8" s="593"/>
      <c r="P8" s="593"/>
      <c r="Q8" s="593"/>
      <c r="R8" s="593"/>
      <c r="S8" s="593"/>
      <c r="T8" s="593"/>
      <c r="U8" s="593"/>
      <c r="V8" s="593"/>
      <c r="W8" s="593"/>
      <c r="X8" s="593"/>
      <c r="Y8" s="593"/>
      <c r="Z8" s="593"/>
      <c r="AA8" s="593"/>
      <c r="AB8" s="593"/>
      <c r="AC8" s="593"/>
      <c r="AD8" s="593"/>
      <c r="AE8" s="593"/>
      <c r="AF8" s="593"/>
      <c r="AG8" s="593"/>
      <c r="AH8" s="593"/>
      <c r="AI8" s="593"/>
      <c r="AJ8" s="593"/>
      <c r="AK8" s="593"/>
      <c r="AL8" s="593"/>
      <c r="AM8" s="593"/>
      <c r="AN8" s="593"/>
      <c r="AO8" s="593"/>
      <c r="AP8" s="593"/>
      <c r="AQ8" s="593"/>
      <c r="AR8" s="593"/>
      <c r="AS8" s="593"/>
      <c r="AT8" s="593"/>
      <c r="AU8" s="593"/>
      <c r="AV8" s="593"/>
      <c r="AW8" s="593"/>
      <c r="AX8" s="593"/>
      <c r="AY8" s="593"/>
      <c r="AZ8" s="593"/>
      <c r="BA8" s="593"/>
      <c r="BB8" s="593"/>
      <c r="BC8" s="593"/>
      <c r="BD8" s="593"/>
      <c r="BE8" s="593"/>
      <c r="BF8" s="593"/>
      <c r="BG8" s="593"/>
      <c r="BH8" s="593"/>
      <c r="BI8" s="593"/>
      <c r="BJ8" s="593"/>
      <c r="BK8" s="593"/>
      <c r="BL8" s="593"/>
      <c r="BM8" s="593"/>
      <c r="BN8" s="593"/>
      <c r="BO8" s="593"/>
      <c r="BP8" s="593"/>
      <c r="BQ8" s="593"/>
    </row>
    <row r="9" spans="1:69" s="594" customFormat="1" ht="15.75" customHeight="1">
      <c r="A9" s="1074"/>
      <c r="B9" s="1075"/>
      <c r="C9" s="1075"/>
      <c r="D9" s="1075"/>
      <c r="E9" s="1085" t="s">
        <v>41</v>
      </c>
      <c r="F9" s="1077" t="s">
        <v>42</v>
      </c>
      <c r="G9" s="1077"/>
      <c r="H9" s="1077"/>
      <c r="I9" s="1086" t="s">
        <v>41</v>
      </c>
      <c r="J9" s="1077" t="s">
        <v>42</v>
      </c>
      <c r="K9" s="1077"/>
      <c r="L9" s="1078"/>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3"/>
      <c r="AY9" s="593"/>
      <c r="AZ9" s="593"/>
      <c r="BA9" s="593"/>
      <c r="BB9" s="593"/>
      <c r="BC9" s="593"/>
      <c r="BD9" s="593"/>
      <c r="BE9" s="593"/>
      <c r="BF9" s="593"/>
      <c r="BG9" s="593"/>
      <c r="BH9" s="593"/>
      <c r="BI9" s="593"/>
      <c r="BJ9" s="593"/>
      <c r="BK9" s="593"/>
      <c r="BL9" s="593"/>
      <c r="BM9" s="593"/>
      <c r="BN9" s="593"/>
      <c r="BO9" s="593"/>
      <c r="BP9" s="593"/>
      <c r="BQ9" s="593"/>
    </row>
    <row r="10" spans="1:69" s="594" customFormat="1" ht="33" customHeight="1">
      <c r="A10" s="1074"/>
      <c r="B10" s="1075"/>
      <c r="C10" s="1075"/>
      <c r="D10" s="1075"/>
      <c r="E10" s="1085"/>
      <c r="F10" s="695" t="s">
        <v>44</v>
      </c>
      <c r="G10" s="244" t="s">
        <v>43</v>
      </c>
      <c r="H10" s="695" t="s">
        <v>27</v>
      </c>
      <c r="I10" s="1086"/>
      <c r="J10" s="695" t="s">
        <v>44</v>
      </c>
      <c r="K10" s="697" t="s">
        <v>43</v>
      </c>
      <c r="L10" s="695" t="s">
        <v>27</v>
      </c>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93"/>
      <c r="AW10" s="593"/>
      <c r="AX10" s="593"/>
      <c r="AY10" s="593"/>
      <c r="AZ10" s="593"/>
      <c r="BA10" s="593"/>
      <c r="BB10" s="593"/>
      <c r="BC10" s="593"/>
      <c r="BD10" s="593"/>
      <c r="BE10" s="593"/>
      <c r="BF10" s="593"/>
      <c r="BG10" s="593"/>
      <c r="BH10" s="593"/>
      <c r="BI10" s="593"/>
      <c r="BJ10" s="593"/>
      <c r="BK10" s="593"/>
      <c r="BL10" s="593"/>
      <c r="BM10" s="593"/>
      <c r="BN10" s="593"/>
      <c r="BO10" s="593"/>
      <c r="BP10" s="593"/>
      <c r="BQ10" s="593"/>
    </row>
    <row r="11" spans="1:69" s="594" customFormat="1">
      <c r="A11" s="693" t="s">
        <v>28</v>
      </c>
      <c r="B11" s="694">
        <v>2</v>
      </c>
      <c r="C11" s="693" t="s">
        <v>103</v>
      </c>
      <c r="D11" s="694">
        <v>4</v>
      </c>
      <c r="E11" s="695" t="s">
        <v>155</v>
      </c>
      <c r="F11" s="327">
        <v>6</v>
      </c>
      <c r="G11" s="596">
        <v>7</v>
      </c>
      <c r="H11" s="327">
        <v>8</v>
      </c>
      <c r="I11" s="737">
        <v>9</v>
      </c>
      <c r="J11" s="327">
        <v>10</v>
      </c>
      <c r="K11" s="597">
        <v>11</v>
      </c>
      <c r="L11" s="327">
        <v>12</v>
      </c>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593"/>
      <c r="AL11" s="593"/>
      <c r="AM11" s="593"/>
      <c r="AN11" s="593"/>
      <c r="AO11" s="593"/>
      <c r="AP11" s="593"/>
      <c r="AQ11" s="593"/>
      <c r="AR11" s="593"/>
      <c r="AS11" s="593"/>
      <c r="AT11" s="593"/>
      <c r="AU11" s="593"/>
      <c r="AV11" s="593"/>
      <c r="AW11" s="593"/>
      <c r="AX11" s="593"/>
      <c r="AY11" s="593"/>
      <c r="AZ11" s="593"/>
      <c r="BA11" s="593"/>
      <c r="BB11" s="593"/>
      <c r="BC11" s="593"/>
      <c r="BD11" s="593"/>
      <c r="BE11" s="593"/>
      <c r="BF11" s="593"/>
      <c r="BG11" s="593"/>
      <c r="BH11" s="593"/>
      <c r="BI11" s="593"/>
      <c r="BJ11" s="593"/>
      <c r="BK11" s="593"/>
      <c r="BL11" s="593"/>
      <c r="BM11" s="593"/>
      <c r="BN11" s="593"/>
      <c r="BO11" s="593"/>
      <c r="BP11" s="593"/>
      <c r="BQ11" s="593"/>
    </row>
    <row r="12" spans="1:69" s="605" customFormat="1" ht="31.5">
      <c r="A12" s="751" t="s">
        <v>17</v>
      </c>
      <c r="B12" s="822" t="s">
        <v>48</v>
      </c>
      <c r="C12" s="823"/>
      <c r="D12" s="823"/>
      <c r="E12" s="824">
        <f>SUM(F12:H12)</f>
        <v>34818.22</v>
      </c>
      <c r="F12" s="825">
        <f>F13+F17+F18+F19+F20+F21+F22+F27+F31</f>
        <v>5286.74</v>
      </c>
      <c r="G12" s="826">
        <f>G13+G17+G18+G19+G20+G21+G22+G27+G31</f>
        <v>1937.7</v>
      </c>
      <c r="H12" s="825">
        <f>H13+H17+H18+H19+H20+H21+H22+H27+H31</f>
        <v>27593.780000000002</v>
      </c>
      <c r="I12" s="824">
        <f>SUM(J12:L12)</f>
        <v>28973.544000000002</v>
      </c>
      <c r="J12" s="824">
        <f>J13+J17+J18+J19+J20+J20+J21+J22+J27+J31</f>
        <v>3784.04</v>
      </c>
      <c r="K12" s="827">
        <f>K13+K17+K18+K19+K20+K20+K21+K22+K27+K31</f>
        <v>1087.124</v>
      </c>
      <c r="L12" s="824">
        <f>L13+L17+L18+L19+L20+L21+L22+L27+L31</f>
        <v>24102.38</v>
      </c>
      <c r="M12" s="603"/>
      <c r="N12" s="604"/>
      <c r="O12" s="603"/>
      <c r="P12" s="603"/>
      <c r="Q12" s="603"/>
      <c r="R12" s="603"/>
      <c r="S12" s="603"/>
      <c r="T12" s="603"/>
      <c r="U12" s="603"/>
      <c r="V12" s="603"/>
      <c r="W12" s="603"/>
      <c r="X12" s="603"/>
      <c r="Y12" s="603"/>
      <c r="Z12" s="603"/>
      <c r="AA12" s="603"/>
      <c r="AB12" s="603"/>
      <c r="AC12" s="603"/>
      <c r="AD12" s="603"/>
      <c r="AE12" s="603"/>
      <c r="AF12" s="603"/>
      <c r="AG12" s="603"/>
      <c r="AH12" s="603"/>
      <c r="AI12" s="603"/>
      <c r="AJ12" s="603"/>
      <c r="AK12" s="603"/>
      <c r="AL12" s="603"/>
      <c r="AM12" s="603"/>
      <c r="AN12" s="603"/>
      <c r="AO12" s="603"/>
      <c r="AP12" s="603"/>
      <c r="AQ12" s="603"/>
      <c r="AR12" s="603"/>
      <c r="AS12" s="603"/>
      <c r="AT12" s="603"/>
      <c r="AU12" s="603"/>
      <c r="AV12" s="603"/>
      <c r="AW12" s="603"/>
      <c r="AX12" s="603"/>
      <c r="AY12" s="603"/>
      <c r="AZ12" s="603"/>
      <c r="BA12" s="603"/>
      <c r="BB12" s="603"/>
      <c r="BC12" s="603"/>
      <c r="BD12" s="603"/>
      <c r="BE12" s="603"/>
      <c r="BF12" s="603"/>
      <c r="BG12" s="603"/>
      <c r="BH12" s="603"/>
      <c r="BI12" s="603"/>
      <c r="BJ12" s="603"/>
      <c r="BK12" s="603"/>
      <c r="BL12" s="603"/>
      <c r="BM12" s="603"/>
      <c r="BN12" s="603"/>
      <c r="BO12" s="603"/>
      <c r="BP12" s="603"/>
      <c r="BQ12" s="603"/>
    </row>
    <row r="13" spans="1:69" s="612" customFormat="1" ht="96" customHeight="1">
      <c r="A13" s="753" t="s">
        <v>46</v>
      </c>
      <c r="B13" s="442" t="s">
        <v>542</v>
      </c>
      <c r="C13" s="194"/>
      <c r="D13" s="194"/>
      <c r="E13" s="757">
        <f t="shared" ref="E13:E80" si="0">SUM(F13:H13)</f>
        <v>23007.980000000003</v>
      </c>
      <c r="F13" s="700">
        <v>0</v>
      </c>
      <c r="G13" s="705">
        <v>0</v>
      </c>
      <c r="H13" s="700">
        <f>SUM(H14:H16)</f>
        <v>23007.980000000003</v>
      </c>
      <c r="I13" s="757">
        <f t="shared" ref="I13:I20" si="1">SUM(J13:L13)</f>
        <v>17137.7</v>
      </c>
      <c r="J13" s="757">
        <f>SUM(J14:J16)</f>
        <v>0</v>
      </c>
      <c r="K13" s="105">
        <f>SUM(K14:K16)</f>
        <v>0</v>
      </c>
      <c r="L13" s="757">
        <f>SUM(L14:L16)</f>
        <v>17137.7</v>
      </c>
      <c r="M13" s="611"/>
      <c r="N13" s="611"/>
      <c r="O13" s="611"/>
      <c r="P13" s="611"/>
      <c r="Q13" s="611"/>
      <c r="R13" s="611"/>
      <c r="S13" s="611"/>
      <c r="T13" s="611"/>
      <c r="U13" s="611"/>
      <c r="V13" s="611"/>
      <c r="W13" s="611"/>
      <c r="X13" s="611"/>
      <c r="Y13" s="611"/>
      <c r="Z13" s="611"/>
      <c r="AA13" s="611"/>
      <c r="AB13" s="611"/>
      <c r="AC13" s="611"/>
      <c r="AD13" s="611"/>
      <c r="AE13" s="611"/>
      <c r="AF13" s="611"/>
      <c r="AG13" s="611"/>
      <c r="AH13" s="611"/>
      <c r="AI13" s="611"/>
      <c r="AJ13" s="611"/>
      <c r="AK13" s="611"/>
      <c r="AL13" s="611"/>
      <c r="AM13" s="611"/>
      <c r="AN13" s="611"/>
      <c r="AO13" s="611"/>
      <c r="AP13" s="611"/>
      <c r="AQ13" s="611"/>
      <c r="AR13" s="611"/>
      <c r="AS13" s="611"/>
      <c r="AT13" s="611"/>
      <c r="AU13" s="611"/>
      <c r="AV13" s="611"/>
      <c r="AW13" s="611"/>
      <c r="AX13" s="611"/>
      <c r="AY13" s="611"/>
      <c r="AZ13" s="611"/>
      <c r="BA13" s="611"/>
      <c r="BB13" s="611"/>
      <c r="BC13" s="611"/>
      <c r="BD13" s="611"/>
      <c r="BE13" s="611"/>
      <c r="BF13" s="611"/>
      <c r="BG13" s="611"/>
      <c r="BH13" s="611"/>
      <c r="BI13" s="611"/>
      <c r="BJ13" s="611"/>
      <c r="BK13" s="611"/>
      <c r="BL13" s="611"/>
      <c r="BM13" s="611"/>
      <c r="BN13" s="611"/>
      <c r="BO13" s="611"/>
      <c r="BP13" s="611"/>
      <c r="BQ13" s="611"/>
    </row>
    <row r="14" spans="1:69" s="621" customFormat="1" ht="25.5">
      <c r="A14" s="613"/>
      <c r="B14" s="614" t="s">
        <v>616</v>
      </c>
      <c r="C14" s="724" t="s">
        <v>34</v>
      </c>
      <c r="D14" s="723" t="s">
        <v>543</v>
      </c>
      <c r="E14" s="722">
        <f t="shared" si="0"/>
        <v>12076.45</v>
      </c>
      <c r="F14" s="721">
        <v>0</v>
      </c>
      <c r="G14" s="729">
        <v>0</v>
      </c>
      <c r="H14" s="721">
        <v>12076.45</v>
      </c>
      <c r="I14" s="722">
        <f t="shared" si="1"/>
        <v>6781.08</v>
      </c>
      <c r="J14" s="722">
        <v>0</v>
      </c>
      <c r="K14" s="730">
        <v>0</v>
      </c>
      <c r="L14" s="722">
        <v>6781.08</v>
      </c>
      <c r="M14" s="620"/>
      <c r="N14" s="620"/>
      <c r="O14" s="620"/>
      <c r="P14" s="620"/>
      <c r="Q14" s="620"/>
      <c r="R14" s="620"/>
      <c r="S14" s="620"/>
      <c r="T14" s="620"/>
      <c r="U14" s="620"/>
      <c r="V14" s="620"/>
      <c r="W14" s="620"/>
      <c r="X14" s="620"/>
      <c r="Y14" s="620"/>
      <c r="Z14" s="620"/>
      <c r="AA14" s="620"/>
      <c r="AB14" s="620"/>
      <c r="AC14" s="620"/>
      <c r="AD14" s="620"/>
      <c r="AE14" s="620"/>
      <c r="AF14" s="620"/>
      <c r="AG14" s="620"/>
      <c r="AH14" s="620"/>
      <c r="AI14" s="620"/>
      <c r="AJ14" s="620"/>
      <c r="AK14" s="620"/>
      <c r="AL14" s="620"/>
      <c r="AM14" s="620"/>
      <c r="AN14" s="620"/>
      <c r="AO14" s="620"/>
      <c r="AP14" s="620"/>
      <c r="AQ14" s="620"/>
      <c r="AR14" s="620"/>
      <c r="AS14" s="620"/>
      <c r="AT14" s="620"/>
      <c r="AU14" s="620"/>
      <c r="AV14" s="620"/>
      <c r="AW14" s="620"/>
      <c r="AX14" s="620"/>
      <c r="AY14" s="620"/>
      <c r="AZ14" s="620"/>
      <c r="BA14" s="620"/>
      <c r="BB14" s="620"/>
      <c r="BC14" s="620"/>
      <c r="BD14" s="620"/>
      <c r="BE14" s="620"/>
      <c r="BF14" s="620"/>
      <c r="BG14" s="620"/>
      <c r="BH14" s="620"/>
      <c r="BI14" s="620"/>
      <c r="BJ14" s="620"/>
      <c r="BK14" s="620"/>
      <c r="BL14" s="620"/>
      <c r="BM14" s="620"/>
      <c r="BN14" s="620"/>
      <c r="BO14" s="620"/>
      <c r="BP14" s="620"/>
      <c r="BQ14" s="620"/>
    </row>
    <row r="15" spans="1:69" s="621" customFormat="1" ht="25.5">
      <c r="A15" s="613"/>
      <c r="B15" s="614" t="s">
        <v>617</v>
      </c>
      <c r="C15" s="724" t="s">
        <v>34</v>
      </c>
      <c r="D15" s="723" t="s">
        <v>543</v>
      </c>
      <c r="E15" s="722">
        <f t="shared" si="0"/>
        <v>6662.29</v>
      </c>
      <c r="F15" s="721">
        <v>0</v>
      </c>
      <c r="G15" s="729">
        <v>0</v>
      </c>
      <c r="H15" s="721">
        <v>6662.29</v>
      </c>
      <c r="I15" s="722">
        <f t="shared" si="1"/>
        <v>8002.76</v>
      </c>
      <c r="J15" s="722">
        <v>0</v>
      </c>
      <c r="K15" s="730">
        <v>0</v>
      </c>
      <c r="L15" s="722">
        <v>8002.76</v>
      </c>
      <c r="M15" s="620"/>
      <c r="N15" s="620"/>
      <c r="O15" s="620"/>
      <c r="P15" s="620"/>
      <c r="Q15" s="620"/>
      <c r="R15" s="620"/>
      <c r="S15" s="620"/>
      <c r="T15" s="620"/>
      <c r="U15" s="620"/>
      <c r="V15" s="620"/>
      <c r="W15" s="620"/>
      <c r="X15" s="620"/>
      <c r="Y15" s="620"/>
      <c r="Z15" s="620"/>
      <c r="AA15" s="620"/>
      <c r="AB15" s="620"/>
      <c r="AC15" s="620"/>
      <c r="AD15" s="620"/>
      <c r="AE15" s="620"/>
      <c r="AF15" s="620"/>
      <c r="AG15" s="620"/>
      <c r="AH15" s="620"/>
      <c r="AI15" s="620"/>
      <c r="AJ15" s="620"/>
      <c r="AK15" s="620"/>
      <c r="AL15" s="620"/>
      <c r="AM15" s="620"/>
      <c r="AN15" s="620"/>
      <c r="AO15" s="620"/>
      <c r="AP15" s="620"/>
      <c r="AQ15" s="620"/>
      <c r="AR15" s="620"/>
      <c r="AS15" s="620"/>
      <c r="AT15" s="620"/>
      <c r="AU15" s="620"/>
      <c r="AV15" s="620"/>
      <c r="AW15" s="620"/>
      <c r="AX15" s="620"/>
      <c r="AY15" s="620"/>
      <c r="AZ15" s="620"/>
      <c r="BA15" s="620"/>
      <c r="BB15" s="620"/>
      <c r="BC15" s="620"/>
      <c r="BD15" s="620"/>
      <c r="BE15" s="620"/>
      <c r="BF15" s="620"/>
      <c r="BG15" s="620"/>
      <c r="BH15" s="620"/>
      <c r="BI15" s="620"/>
      <c r="BJ15" s="620"/>
      <c r="BK15" s="620"/>
      <c r="BL15" s="620"/>
      <c r="BM15" s="620"/>
      <c r="BN15" s="620"/>
      <c r="BO15" s="620"/>
      <c r="BP15" s="620"/>
      <c r="BQ15" s="620"/>
    </row>
    <row r="16" spans="1:69" s="621" customFormat="1" ht="25.5">
      <c r="A16" s="613"/>
      <c r="B16" s="622" t="s">
        <v>618</v>
      </c>
      <c r="C16" s="724" t="s">
        <v>34</v>
      </c>
      <c r="D16" s="723" t="s">
        <v>543</v>
      </c>
      <c r="E16" s="722">
        <f t="shared" si="0"/>
        <v>4269.24</v>
      </c>
      <c r="F16" s="721">
        <v>0</v>
      </c>
      <c r="G16" s="729">
        <v>0</v>
      </c>
      <c r="H16" s="721">
        <v>4269.24</v>
      </c>
      <c r="I16" s="722">
        <f t="shared" si="1"/>
        <v>2353.86</v>
      </c>
      <c r="J16" s="722">
        <v>0</v>
      </c>
      <c r="K16" s="730">
        <v>0</v>
      </c>
      <c r="L16" s="722">
        <v>2353.86</v>
      </c>
      <c r="M16" s="620"/>
      <c r="N16" s="620"/>
      <c r="O16" s="620"/>
      <c r="P16" s="620"/>
      <c r="Q16" s="620"/>
      <c r="R16" s="620"/>
      <c r="S16" s="620"/>
      <c r="T16" s="620"/>
      <c r="U16" s="620"/>
      <c r="V16" s="620"/>
      <c r="W16" s="620"/>
      <c r="X16" s="620"/>
      <c r="Y16" s="620"/>
      <c r="Z16" s="620"/>
      <c r="AA16" s="620"/>
      <c r="AB16" s="620"/>
      <c r="AC16" s="620"/>
      <c r="AD16" s="620"/>
      <c r="AE16" s="620"/>
      <c r="AF16" s="620"/>
      <c r="AG16" s="620"/>
      <c r="AH16" s="620"/>
      <c r="AI16" s="620"/>
      <c r="AJ16" s="620"/>
      <c r="AK16" s="620"/>
      <c r="AL16" s="620"/>
      <c r="AM16" s="620"/>
      <c r="AN16" s="620"/>
      <c r="AO16" s="620"/>
      <c r="AP16" s="620"/>
      <c r="AQ16" s="620"/>
      <c r="AR16" s="620"/>
      <c r="AS16" s="620"/>
      <c r="AT16" s="620"/>
      <c r="AU16" s="620"/>
      <c r="AV16" s="620"/>
      <c r="AW16" s="620"/>
      <c r="AX16" s="620"/>
      <c r="AY16" s="620"/>
      <c r="AZ16" s="620"/>
      <c r="BA16" s="620"/>
      <c r="BB16" s="620"/>
      <c r="BC16" s="620"/>
      <c r="BD16" s="620"/>
      <c r="BE16" s="620"/>
      <c r="BF16" s="620"/>
      <c r="BG16" s="620"/>
      <c r="BH16" s="620"/>
      <c r="BI16" s="620"/>
      <c r="BJ16" s="620"/>
      <c r="BK16" s="620"/>
      <c r="BL16" s="620"/>
      <c r="BM16" s="620"/>
      <c r="BN16" s="620"/>
      <c r="BO16" s="620"/>
      <c r="BP16" s="620"/>
      <c r="BQ16" s="620"/>
    </row>
    <row r="17" spans="1:69" s="605" customFormat="1" ht="82.5" customHeight="1">
      <c r="A17" s="753" t="s">
        <v>247</v>
      </c>
      <c r="B17" s="828" t="s">
        <v>248</v>
      </c>
      <c r="C17" s="194" t="s">
        <v>51</v>
      </c>
      <c r="D17" s="829" t="s">
        <v>543</v>
      </c>
      <c r="E17" s="757">
        <f t="shared" si="0"/>
        <v>550</v>
      </c>
      <c r="F17" s="700">
        <v>0</v>
      </c>
      <c r="G17" s="705">
        <v>0</v>
      </c>
      <c r="H17" s="830">
        <v>550</v>
      </c>
      <c r="I17" s="757">
        <f t="shared" si="1"/>
        <v>1490.61</v>
      </c>
      <c r="J17" s="757">
        <v>0</v>
      </c>
      <c r="K17" s="745">
        <v>0</v>
      </c>
      <c r="L17" s="757">
        <v>1490.61</v>
      </c>
      <c r="M17" s="603"/>
      <c r="N17" s="603"/>
      <c r="O17" s="603"/>
      <c r="P17" s="603"/>
      <c r="Q17" s="603"/>
      <c r="R17" s="603"/>
      <c r="S17" s="603"/>
      <c r="T17" s="603"/>
      <c r="U17" s="603"/>
      <c r="V17" s="603"/>
      <c r="W17" s="603"/>
      <c r="X17" s="603"/>
      <c r="Y17" s="603"/>
      <c r="Z17" s="603"/>
      <c r="AA17" s="603"/>
      <c r="AB17" s="603"/>
      <c r="AC17" s="603"/>
      <c r="AD17" s="603"/>
      <c r="AE17" s="603"/>
      <c r="AF17" s="603"/>
      <c r="AG17" s="603"/>
      <c r="AH17" s="603"/>
      <c r="AI17" s="603"/>
      <c r="AJ17" s="603"/>
      <c r="AK17" s="603"/>
      <c r="AL17" s="603"/>
      <c r="AM17" s="603"/>
      <c r="AN17" s="603"/>
      <c r="AO17" s="603"/>
      <c r="AP17" s="603"/>
      <c r="AQ17" s="603"/>
      <c r="AR17" s="603"/>
      <c r="AS17" s="603"/>
      <c r="AT17" s="603"/>
      <c r="AU17" s="603"/>
      <c r="AV17" s="603"/>
      <c r="AW17" s="603"/>
      <c r="AX17" s="603"/>
      <c r="AY17" s="603"/>
      <c r="AZ17" s="603"/>
      <c r="BA17" s="603"/>
      <c r="BB17" s="603"/>
      <c r="BC17" s="603"/>
      <c r="BD17" s="603"/>
      <c r="BE17" s="603"/>
      <c r="BF17" s="603"/>
      <c r="BG17" s="603"/>
      <c r="BH17" s="603"/>
      <c r="BI17" s="603"/>
      <c r="BJ17" s="603"/>
      <c r="BK17" s="603"/>
      <c r="BL17" s="603"/>
      <c r="BM17" s="603"/>
      <c r="BN17" s="603"/>
      <c r="BO17" s="603"/>
      <c r="BP17" s="603"/>
      <c r="BQ17" s="603"/>
    </row>
    <row r="18" spans="1:69" s="612" customFormat="1" ht="63">
      <c r="A18" s="753" t="s">
        <v>253</v>
      </c>
      <c r="B18" s="828" t="s">
        <v>547</v>
      </c>
      <c r="C18" s="194" t="s">
        <v>34</v>
      </c>
      <c r="D18" s="829" t="s">
        <v>544</v>
      </c>
      <c r="E18" s="757">
        <f t="shared" si="0"/>
        <v>0</v>
      </c>
      <c r="F18" s="700">
        <v>0</v>
      </c>
      <c r="G18" s="705">
        <v>0</v>
      </c>
      <c r="H18" s="757">
        <v>0</v>
      </c>
      <c r="I18" s="757">
        <f t="shared" si="1"/>
        <v>1076.8399999999999</v>
      </c>
      <c r="J18" s="757">
        <v>0</v>
      </c>
      <c r="K18" s="745">
        <v>0</v>
      </c>
      <c r="L18" s="757">
        <v>1076.8399999999999</v>
      </c>
      <c r="M18" s="611"/>
      <c r="N18" s="611"/>
      <c r="O18" s="611"/>
      <c r="P18" s="611"/>
      <c r="Q18" s="611"/>
      <c r="R18" s="611"/>
      <c r="S18" s="611"/>
      <c r="T18" s="611"/>
      <c r="U18" s="611"/>
      <c r="V18" s="611"/>
      <c r="W18" s="611"/>
      <c r="X18" s="611"/>
      <c r="Y18" s="611"/>
      <c r="Z18" s="611"/>
      <c r="AA18" s="611"/>
      <c r="AB18" s="611"/>
      <c r="AC18" s="611"/>
      <c r="AD18" s="611"/>
      <c r="AE18" s="611"/>
      <c r="AF18" s="611"/>
      <c r="AG18" s="611"/>
      <c r="AH18" s="611"/>
      <c r="AI18" s="611"/>
      <c r="AJ18" s="611"/>
      <c r="AK18" s="611"/>
      <c r="AL18" s="611"/>
      <c r="AM18" s="611"/>
      <c r="AN18" s="611"/>
      <c r="AO18" s="611"/>
      <c r="AP18" s="611"/>
      <c r="AQ18" s="611"/>
      <c r="AR18" s="611"/>
      <c r="AS18" s="611"/>
      <c r="AT18" s="611"/>
      <c r="AU18" s="611"/>
      <c r="AV18" s="611"/>
      <c r="AW18" s="611"/>
      <c r="AX18" s="611"/>
      <c r="AY18" s="611"/>
      <c r="AZ18" s="611"/>
      <c r="BA18" s="611"/>
      <c r="BB18" s="611"/>
      <c r="BC18" s="611"/>
      <c r="BD18" s="611"/>
      <c r="BE18" s="611"/>
      <c r="BF18" s="611"/>
      <c r="BG18" s="611"/>
      <c r="BH18" s="611"/>
      <c r="BI18" s="611"/>
      <c r="BJ18" s="611"/>
      <c r="BK18" s="611"/>
      <c r="BL18" s="611"/>
      <c r="BM18" s="611"/>
      <c r="BN18" s="611"/>
      <c r="BO18" s="611"/>
      <c r="BP18" s="611"/>
      <c r="BQ18" s="611"/>
    </row>
    <row r="19" spans="1:69" s="612" customFormat="1" ht="78.75">
      <c r="A19" s="753" t="s">
        <v>546</v>
      </c>
      <c r="B19" s="828" t="s">
        <v>55</v>
      </c>
      <c r="C19" s="194" t="s">
        <v>51</v>
      </c>
      <c r="D19" s="194" t="s">
        <v>543</v>
      </c>
      <c r="E19" s="757">
        <f t="shared" si="0"/>
        <v>1150</v>
      </c>
      <c r="F19" s="700">
        <v>0</v>
      </c>
      <c r="G19" s="705">
        <v>0</v>
      </c>
      <c r="H19" s="757">
        <v>1150</v>
      </c>
      <c r="I19" s="757">
        <f t="shared" si="1"/>
        <v>1263.77</v>
      </c>
      <c r="J19" s="757">
        <v>0</v>
      </c>
      <c r="K19" s="745">
        <v>0</v>
      </c>
      <c r="L19" s="757">
        <v>1263.77</v>
      </c>
      <c r="M19" s="611"/>
      <c r="N19" s="611"/>
      <c r="O19" s="611"/>
      <c r="P19" s="611"/>
      <c r="Q19" s="611"/>
      <c r="R19" s="611"/>
      <c r="S19" s="611"/>
      <c r="T19" s="611"/>
      <c r="U19" s="611"/>
      <c r="V19" s="611"/>
      <c r="W19" s="611"/>
      <c r="X19" s="611"/>
      <c r="Y19" s="611"/>
      <c r="Z19" s="611"/>
      <c r="AA19" s="611"/>
      <c r="AB19" s="611"/>
      <c r="AC19" s="611"/>
      <c r="AD19" s="611"/>
      <c r="AE19" s="611"/>
      <c r="AF19" s="611"/>
      <c r="AG19" s="611"/>
      <c r="AH19" s="611"/>
      <c r="AI19" s="611"/>
      <c r="AJ19" s="611"/>
      <c r="AK19" s="611"/>
      <c r="AL19" s="611"/>
      <c r="AM19" s="611"/>
      <c r="AN19" s="611"/>
      <c r="AO19" s="611"/>
      <c r="AP19" s="611"/>
      <c r="AQ19" s="611"/>
      <c r="AR19" s="611"/>
      <c r="AS19" s="611"/>
      <c r="AT19" s="611"/>
      <c r="AU19" s="611"/>
      <c r="AV19" s="611"/>
      <c r="AW19" s="611"/>
      <c r="AX19" s="611"/>
      <c r="AY19" s="611"/>
      <c r="AZ19" s="611"/>
      <c r="BA19" s="611"/>
      <c r="BB19" s="611"/>
      <c r="BC19" s="611"/>
      <c r="BD19" s="611"/>
      <c r="BE19" s="611"/>
      <c r="BF19" s="611"/>
      <c r="BG19" s="611"/>
      <c r="BH19" s="611"/>
      <c r="BI19" s="611"/>
      <c r="BJ19" s="611"/>
      <c r="BK19" s="611"/>
      <c r="BL19" s="611"/>
      <c r="BM19" s="611"/>
      <c r="BN19" s="611"/>
      <c r="BO19" s="611"/>
      <c r="BP19" s="611"/>
      <c r="BQ19" s="611"/>
    </row>
    <row r="20" spans="1:69" s="612" customFormat="1" ht="110.25">
      <c r="A20" s="753" t="s">
        <v>256</v>
      </c>
      <c r="B20" s="828" t="s">
        <v>548</v>
      </c>
      <c r="C20" s="194" t="s">
        <v>545</v>
      </c>
      <c r="D20" s="194" t="s">
        <v>543</v>
      </c>
      <c r="E20" s="700">
        <f t="shared" si="0"/>
        <v>1950.8</v>
      </c>
      <c r="F20" s="700">
        <v>0</v>
      </c>
      <c r="G20" s="705">
        <v>0</v>
      </c>
      <c r="H20" s="757">
        <v>1950.8</v>
      </c>
      <c r="I20" s="757">
        <f t="shared" si="1"/>
        <v>1673.02</v>
      </c>
      <c r="J20" s="757">
        <v>0</v>
      </c>
      <c r="K20" s="745">
        <v>0</v>
      </c>
      <c r="L20" s="757">
        <v>1673.02</v>
      </c>
      <c r="M20" s="611"/>
      <c r="N20" s="611"/>
      <c r="O20" s="611"/>
      <c r="P20" s="611"/>
      <c r="Q20" s="611"/>
      <c r="R20" s="611"/>
      <c r="S20" s="611"/>
      <c r="T20" s="611"/>
      <c r="U20" s="611"/>
      <c r="V20" s="611"/>
      <c r="W20" s="611"/>
      <c r="X20" s="611"/>
      <c r="Y20" s="611"/>
      <c r="Z20" s="611"/>
      <c r="AA20" s="611"/>
      <c r="AB20" s="611"/>
      <c r="AC20" s="611"/>
      <c r="AD20" s="611"/>
      <c r="AE20" s="611"/>
      <c r="AF20" s="611"/>
      <c r="AG20" s="611"/>
      <c r="AH20" s="611"/>
      <c r="AI20" s="611"/>
      <c r="AJ20" s="611"/>
      <c r="AK20" s="611"/>
      <c r="AL20" s="611"/>
      <c r="AM20" s="611"/>
      <c r="AN20" s="611"/>
      <c r="AO20" s="611"/>
      <c r="AP20" s="611"/>
      <c r="AQ20" s="611"/>
      <c r="AR20" s="611"/>
      <c r="AS20" s="611"/>
      <c r="AT20" s="611"/>
      <c r="AU20" s="611"/>
      <c r="AV20" s="611"/>
      <c r="AW20" s="611"/>
      <c r="AX20" s="611"/>
      <c r="AY20" s="611"/>
      <c r="AZ20" s="611"/>
      <c r="BA20" s="611"/>
      <c r="BB20" s="611"/>
      <c r="BC20" s="611"/>
      <c r="BD20" s="611"/>
      <c r="BE20" s="611"/>
      <c r="BF20" s="611"/>
      <c r="BG20" s="611"/>
      <c r="BH20" s="611"/>
      <c r="BI20" s="611"/>
      <c r="BJ20" s="611"/>
      <c r="BK20" s="611"/>
      <c r="BL20" s="611"/>
      <c r="BM20" s="611"/>
      <c r="BN20" s="611"/>
      <c r="BO20" s="611"/>
      <c r="BP20" s="611"/>
      <c r="BQ20" s="611"/>
    </row>
    <row r="21" spans="1:69" s="612" customFormat="1" ht="78.75">
      <c r="A21" s="753" t="s">
        <v>261</v>
      </c>
      <c r="B21" s="831" t="s">
        <v>57</v>
      </c>
      <c r="C21" s="194" t="s">
        <v>34</v>
      </c>
      <c r="D21" s="829" t="s">
        <v>543</v>
      </c>
      <c r="E21" s="757">
        <f t="shared" si="0"/>
        <v>635</v>
      </c>
      <c r="F21" s="757">
        <v>0</v>
      </c>
      <c r="G21" s="105">
        <v>0</v>
      </c>
      <c r="H21" s="757">
        <v>635</v>
      </c>
      <c r="I21" s="757">
        <f>SUM(J21:L21)</f>
        <v>282.25</v>
      </c>
      <c r="J21" s="757">
        <v>0</v>
      </c>
      <c r="K21" s="745">
        <v>0</v>
      </c>
      <c r="L21" s="757">
        <v>282.25</v>
      </c>
      <c r="M21" s="611"/>
      <c r="N21" s="611"/>
      <c r="O21" s="611"/>
      <c r="P21" s="611"/>
      <c r="Q21" s="611"/>
      <c r="R21" s="611"/>
      <c r="S21" s="611"/>
      <c r="T21" s="611"/>
      <c r="U21" s="611"/>
      <c r="V21" s="611"/>
      <c r="W21" s="611"/>
      <c r="X21" s="611"/>
      <c r="Y21" s="611"/>
      <c r="Z21" s="611"/>
      <c r="AA21" s="611"/>
      <c r="AB21" s="611"/>
      <c r="AC21" s="611"/>
      <c r="AD21" s="611"/>
      <c r="AE21" s="611"/>
      <c r="AF21" s="611"/>
      <c r="AG21" s="611"/>
      <c r="AH21" s="611"/>
      <c r="AI21" s="611"/>
      <c r="AJ21" s="611"/>
      <c r="AK21" s="611"/>
      <c r="AL21" s="611"/>
      <c r="AM21" s="611"/>
      <c r="AN21" s="611"/>
      <c r="AO21" s="611"/>
      <c r="AP21" s="611"/>
      <c r="AQ21" s="611"/>
      <c r="AR21" s="611"/>
      <c r="AS21" s="611"/>
      <c r="AT21" s="611"/>
      <c r="AU21" s="611"/>
      <c r="AV21" s="611"/>
      <c r="AW21" s="611"/>
      <c r="AX21" s="611"/>
      <c r="AY21" s="611"/>
      <c r="AZ21" s="611"/>
      <c r="BA21" s="611"/>
      <c r="BB21" s="611"/>
      <c r="BC21" s="611"/>
      <c r="BD21" s="611"/>
      <c r="BE21" s="611"/>
      <c r="BF21" s="611"/>
      <c r="BG21" s="611"/>
      <c r="BH21" s="611"/>
      <c r="BI21" s="611"/>
      <c r="BJ21" s="611"/>
      <c r="BK21" s="611"/>
      <c r="BL21" s="611"/>
      <c r="BM21" s="611"/>
      <c r="BN21" s="611"/>
      <c r="BO21" s="611"/>
      <c r="BP21" s="611"/>
      <c r="BQ21" s="611"/>
    </row>
    <row r="22" spans="1:69" s="612" customFormat="1" ht="94.5">
      <c r="A22" s="753" t="s">
        <v>265</v>
      </c>
      <c r="B22" s="442" t="s">
        <v>549</v>
      </c>
      <c r="C22" s="832" t="s">
        <v>552</v>
      </c>
      <c r="D22" s="829" t="s">
        <v>550</v>
      </c>
      <c r="E22" s="757">
        <f t="shared" si="0"/>
        <v>3066.49</v>
      </c>
      <c r="F22" s="757">
        <f>SUM(F23:F26)</f>
        <v>2163.29</v>
      </c>
      <c r="G22" s="105">
        <f>SUM(G23:G26)</f>
        <v>903.2</v>
      </c>
      <c r="H22" s="757">
        <f>SUM(H23:H26)</f>
        <v>0</v>
      </c>
      <c r="I22" s="757">
        <f>SUM(J22:L22)</f>
        <v>2477.038</v>
      </c>
      <c r="J22" s="757">
        <f>SUM(J23:J26)</f>
        <v>1010.06</v>
      </c>
      <c r="K22" s="105">
        <f>SUM(K23:K26)</f>
        <v>288.78800000000001</v>
      </c>
      <c r="L22" s="757">
        <f>SUM(L23:L26)</f>
        <v>1178.19</v>
      </c>
      <c r="M22" s="611"/>
      <c r="N22" s="611"/>
      <c r="O22" s="611"/>
      <c r="P22" s="611"/>
      <c r="Q22" s="611"/>
      <c r="R22" s="611"/>
      <c r="S22" s="611"/>
      <c r="T22" s="611"/>
      <c r="U22" s="611"/>
      <c r="V22" s="611"/>
      <c r="W22" s="611"/>
      <c r="X22" s="611"/>
      <c r="Y22" s="611"/>
      <c r="Z22" s="611"/>
      <c r="AA22" s="611"/>
      <c r="AB22" s="611"/>
      <c r="AC22" s="611"/>
      <c r="AD22" s="611"/>
      <c r="AE22" s="611"/>
      <c r="AF22" s="611"/>
      <c r="AG22" s="611"/>
      <c r="AH22" s="611"/>
      <c r="AI22" s="611"/>
      <c r="AJ22" s="611"/>
      <c r="AK22" s="611"/>
      <c r="AL22" s="611"/>
      <c r="AM22" s="611"/>
      <c r="AN22" s="611"/>
      <c r="AO22" s="611"/>
      <c r="AP22" s="611"/>
      <c r="AQ22" s="611"/>
      <c r="AR22" s="611"/>
      <c r="AS22" s="611"/>
      <c r="AT22" s="611"/>
      <c r="AU22" s="611"/>
      <c r="AV22" s="611"/>
      <c r="AW22" s="611"/>
      <c r="AX22" s="611"/>
      <c r="AY22" s="611"/>
      <c r="AZ22" s="611"/>
      <c r="BA22" s="611"/>
      <c r="BB22" s="611"/>
      <c r="BC22" s="611"/>
      <c r="BD22" s="611"/>
      <c r="BE22" s="611"/>
      <c r="BF22" s="611"/>
      <c r="BG22" s="611"/>
      <c r="BH22" s="611"/>
      <c r="BI22" s="611"/>
      <c r="BJ22" s="611"/>
      <c r="BK22" s="611"/>
      <c r="BL22" s="611"/>
      <c r="BM22" s="611"/>
      <c r="BN22" s="611"/>
      <c r="BO22" s="611"/>
      <c r="BP22" s="611"/>
      <c r="BQ22" s="611"/>
    </row>
    <row r="23" spans="1:69" s="621" customFormat="1" ht="89.25">
      <c r="A23" s="613"/>
      <c r="B23" s="614" t="s">
        <v>678</v>
      </c>
      <c r="C23" s="723" t="s">
        <v>680</v>
      </c>
      <c r="D23" s="723" t="s">
        <v>550</v>
      </c>
      <c r="E23" s="721">
        <f t="shared" si="0"/>
        <v>0</v>
      </c>
      <c r="F23" s="721">
        <v>0</v>
      </c>
      <c r="G23" s="729">
        <v>0</v>
      </c>
      <c r="H23" s="721">
        <v>0</v>
      </c>
      <c r="I23" s="722">
        <f t="shared" ref="I23:I35" si="2">SUM(J23:L23)</f>
        <v>0</v>
      </c>
      <c r="J23" s="722">
        <v>0</v>
      </c>
      <c r="K23" s="730">
        <v>0</v>
      </c>
      <c r="L23" s="722">
        <v>0</v>
      </c>
      <c r="M23" s="620"/>
      <c r="N23" s="620"/>
      <c r="O23" s="620"/>
      <c r="P23" s="620"/>
      <c r="Q23" s="620"/>
      <c r="R23" s="620"/>
      <c r="S23" s="620"/>
      <c r="T23" s="620"/>
      <c r="U23" s="620"/>
      <c r="V23" s="620"/>
      <c r="W23" s="620"/>
      <c r="X23" s="620"/>
      <c r="Y23" s="620"/>
      <c r="Z23" s="620"/>
      <c r="AA23" s="620"/>
      <c r="AB23" s="620"/>
      <c r="AC23" s="620"/>
      <c r="AD23" s="620"/>
      <c r="AE23" s="620"/>
      <c r="AF23" s="620"/>
      <c r="AG23" s="620"/>
      <c r="AH23" s="620"/>
      <c r="AI23" s="620"/>
      <c r="AJ23" s="620"/>
      <c r="AK23" s="620"/>
      <c r="AL23" s="620"/>
      <c r="AM23" s="620"/>
      <c r="AN23" s="620"/>
      <c r="AO23" s="620"/>
      <c r="AP23" s="620"/>
      <c r="AQ23" s="620"/>
      <c r="AR23" s="620"/>
      <c r="AS23" s="620"/>
      <c r="AT23" s="620"/>
      <c r="AU23" s="620"/>
      <c r="AV23" s="620"/>
      <c r="AW23" s="620"/>
      <c r="AX23" s="620"/>
      <c r="AY23" s="620"/>
      <c r="AZ23" s="620"/>
      <c r="BA23" s="620"/>
      <c r="BB23" s="620"/>
      <c r="BC23" s="620"/>
      <c r="BD23" s="620"/>
      <c r="BE23" s="620"/>
      <c r="BF23" s="620"/>
      <c r="BG23" s="620"/>
      <c r="BH23" s="620"/>
      <c r="BI23" s="620"/>
      <c r="BJ23" s="620"/>
      <c r="BK23" s="620"/>
      <c r="BL23" s="620"/>
      <c r="BM23" s="620"/>
      <c r="BN23" s="620"/>
      <c r="BO23" s="620"/>
      <c r="BP23" s="620"/>
      <c r="BQ23" s="620"/>
    </row>
    <row r="24" spans="1:69" s="621" customFormat="1" ht="105" customHeight="1">
      <c r="A24" s="613"/>
      <c r="B24" s="614" t="s">
        <v>679</v>
      </c>
      <c r="C24" s="728" t="s">
        <v>552</v>
      </c>
      <c r="D24" s="723" t="s">
        <v>550</v>
      </c>
      <c r="E24" s="721">
        <f t="shared" si="0"/>
        <v>192.7</v>
      </c>
      <c r="F24" s="721">
        <v>0</v>
      </c>
      <c r="G24" s="729">
        <v>192.7</v>
      </c>
      <c r="H24" s="721">
        <v>0</v>
      </c>
      <c r="I24" s="722">
        <f t="shared" si="2"/>
        <v>192.66</v>
      </c>
      <c r="J24" s="722">
        <v>0</v>
      </c>
      <c r="K24" s="730">
        <v>192.66</v>
      </c>
      <c r="L24" s="722">
        <v>0</v>
      </c>
      <c r="M24" s="620"/>
      <c r="N24" s="620"/>
      <c r="O24" s="620"/>
      <c r="P24" s="620"/>
      <c r="Q24" s="620"/>
      <c r="R24" s="620"/>
      <c r="S24" s="620"/>
      <c r="T24" s="620"/>
      <c r="U24" s="620"/>
      <c r="V24" s="620"/>
      <c r="W24" s="620"/>
      <c r="X24" s="620"/>
      <c r="Y24" s="620"/>
      <c r="Z24" s="620"/>
      <c r="AA24" s="620"/>
      <c r="AB24" s="620"/>
      <c r="AC24" s="620"/>
      <c r="AD24" s="620"/>
      <c r="AE24" s="620"/>
      <c r="AF24" s="620"/>
      <c r="AG24" s="620"/>
      <c r="AH24" s="620"/>
      <c r="AI24" s="620"/>
      <c r="AJ24" s="620"/>
      <c r="AK24" s="620"/>
      <c r="AL24" s="620"/>
      <c r="AM24" s="620"/>
      <c r="AN24" s="620"/>
      <c r="AO24" s="620"/>
      <c r="AP24" s="620"/>
      <c r="AQ24" s="620"/>
      <c r="AR24" s="620"/>
      <c r="AS24" s="620"/>
      <c r="AT24" s="620"/>
      <c r="AU24" s="620"/>
      <c r="AV24" s="620"/>
      <c r="AW24" s="620"/>
      <c r="AX24" s="620"/>
      <c r="AY24" s="620"/>
      <c r="AZ24" s="620"/>
      <c r="BA24" s="620"/>
      <c r="BB24" s="620"/>
      <c r="BC24" s="620"/>
      <c r="BD24" s="620"/>
      <c r="BE24" s="620"/>
      <c r="BF24" s="620"/>
      <c r="BG24" s="620"/>
      <c r="BH24" s="620"/>
      <c r="BI24" s="620"/>
      <c r="BJ24" s="620"/>
      <c r="BK24" s="620"/>
      <c r="BL24" s="620"/>
      <c r="BM24" s="620"/>
      <c r="BN24" s="620"/>
      <c r="BO24" s="620"/>
      <c r="BP24" s="620"/>
      <c r="BQ24" s="620"/>
    </row>
    <row r="25" spans="1:69" s="621" customFormat="1" ht="66.75" customHeight="1">
      <c r="A25" s="613"/>
      <c r="B25" s="630" t="s">
        <v>681</v>
      </c>
      <c r="C25" s="723" t="s">
        <v>551</v>
      </c>
      <c r="D25" s="723" t="s">
        <v>550</v>
      </c>
      <c r="E25" s="722">
        <f t="shared" si="0"/>
        <v>0</v>
      </c>
      <c r="F25" s="722">
        <v>0</v>
      </c>
      <c r="G25" s="731">
        <v>0</v>
      </c>
      <c r="H25" s="722">
        <v>0</v>
      </c>
      <c r="I25" s="722">
        <f t="shared" si="2"/>
        <v>0</v>
      </c>
      <c r="J25" s="722">
        <v>0</v>
      </c>
      <c r="K25" s="730">
        <v>0</v>
      </c>
      <c r="L25" s="722">
        <v>0</v>
      </c>
      <c r="M25" s="620"/>
      <c r="N25" s="620"/>
      <c r="O25" s="620"/>
      <c r="P25" s="620"/>
      <c r="Q25" s="620"/>
      <c r="R25" s="620"/>
      <c r="S25" s="620"/>
      <c r="T25" s="620"/>
      <c r="U25" s="620"/>
      <c r="V25" s="620"/>
      <c r="W25" s="620"/>
      <c r="X25" s="620"/>
      <c r="Y25" s="620"/>
      <c r="Z25" s="620"/>
      <c r="AA25" s="620"/>
      <c r="AB25" s="620"/>
      <c r="AC25" s="620"/>
      <c r="AD25" s="620"/>
      <c r="AE25" s="620"/>
      <c r="AF25" s="620"/>
      <c r="AG25" s="620"/>
      <c r="AH25" s="620"/>
      <c r="AI25" s="620"/>
      <c r="AJ25" s="620"/>
      <c r="AK25" s="620"/>
      <c r="AL25" s="620"/>
      <c r="AM25" s="620"/>
      <c r="AN25" s="620"/>
      <c r="AO25" s="620"/>
      <c r="AP25" s="620"/>
      <c r="AQ25" s="620"/>
      <c r="AR25" s="620"/>
      <c r="AS25" s="620"/>
      <c r="AT25" s="620"/>
      <c r="AU25" s="620"/>
      <c r="AV25" s="620"/>
      <c r="AW25" s="620"/>
      <c r="AX25" s="620"/>
      <c r="AY25" s="620"/>
      <c r="AZ25" s="620"/>
      <c r="BA25" s="620"/>
      <c r="BB25" s="620"/>
      <c r="BC25" s="620"/>
      <c r="BD25" s="620"/>
      <c r="BE25" s="620"/>
      <c r="BF25" s="620"/>
      <c r="BG25" s="620"/>
      <c r="BH25" s="620"/>
      <c r="BI25" s="620"/>
      <c r="BJ25" s="620"/>
      <c r="BK25" s="620"/>
      <c r="BL25" s="620"/>
      <c r="BM25" s="620"/>
      <c r="BN25" s="620"/>
      <c r="BO25" s="620"/>
      <c r="BP25" s="620"/>
      <c r="BQ25" s="620"/>
    </row>
    <row r="26" spans="1:69" s="621" customFormat="1" ht="30.75" customHeight="1">
      <c r="A26" s="613"/>
      <c r="B26" s="614" t="s">
        <v>682</v>
      </c>
      <c r="C26" s="728" t="s">
        <v>62</v>
      </c>
      <c r="D26" s="723" t="s">
        <v>543</v>
      </c>
      <c r="E26" s="722">
        <f t="shared" si="0"/>
        <v>2873.79</v>
      </c>
      <c r="F26" s="722">
        <v>2163.29</v>
      </c>
      <c r="G26" s="731">
        <v>710.5</v>
      </c>
      <c r="H26" s="722">
        <v>0</v>
      </c>
      <c r="I26" s="722">
        <f t="shared" si="2"/>
        <v>2284.3779999999997</v>
      </c>
      <c r="J26" s="722">
        <v>1010.06</v>
      </c>
      <c r="K26" s="730">
        <v>96.128</v>
      </c>
      <c r="L26" s="722">
        <v>1178.19</v>
      </c>
      <c r="M26" s="620"/>
      <c r="N26" s="620"/>
      <c r="O26" s="620"/>
      <c r="P26" s="620"/>
      <c r="Q26" s="620"/>
      <c r="R26" s="620"/>
      <c r="S26" s="620"/>
      <c r="T26" s="620"/>
      <c r="U26" s="620"/>
      <c r="V26" s="620"/>
      <c r="W26" s="620"/>
      <c r="X26" s="620"/>
      <c r="Y26" s="620"/>
      <c r="Z26" s="620"/>
      <c r="AA26" s="620"/>
      <c r="AB26" s="620"/>
      <c r="AC26" s="620"/>
      <c r="AD26" s="620"/>
      <c r="AE26" s="620"/>
      <c r="AF26" s="620"/>
      <c r="AG26" s="620"/>
      <c r="AH26" s="620"/>
      <c r="AI26" s="620"/>
      <c r="AJ26" s="620"/>
      <c r="AK26" s="620"/>
      <c r="AL26" s="620"/>
      <c r="AM26" s="620"/>
      <c r="AN26" s="620"/>
      <c r="AO26" s="620"/>
      <c r="AP26" s="620"/>
      <c r="AQ26" s="620"/>
      <c r="AR26" s="620"/>
      <c r="AS26" s="620"/>
      <c r="AT26" s="620"/>
      <c r="AU26" s="620"/>
      <c r="AV26" s="620"/>
      <c r="AW26" s="620"/>
      <c r="AX26" s="620"/>
      <c r="AY26" s="620"/>
      <c r="AZ26" s="620"/>
      <c r="BA26" s="620"/>
      <c r="BB26" s="620"/>
      <c r="BC26" s="620"/>
      <c r="BD26" s="620"/>
      <c r="BE26" s="620"/>
      <c r="BF26" s="620"/>
      <c r="BG26" s="620"/>
      <c r="BH26" s="620"/>
      <c r="BI26" s="620"/>
      <c r="BJ26" s="620"/>
      <c r="BK26" s="620"/>
      <c r="BL26" s="620"/>
      <c r="BM26" s="620"/>
      <c r="BN26" s="620"/>
      <c r="BO26" s="620"/>
      <c r="BP26" s="620"/>
      <c r="BQ26" s="620"/>
    </row>
    <row r="27" spans="1:69" s="612" customFormat="1" ht="63">
      <c r="A27" s="753" t="s">
        <v>427</v>
      </c>
      <c r="B27" s="193" t="s">
        <v>430</v>
      </c>
      <c r="C27" s="833" t="s">
        <v>62</v>
      </c>
      <c r="D27" s="829" t="s">
        <v>543</v>
      </c>
      <c r="E27" s="757">
        <f t="shared" si="0"/>
        <v>4157.95</v>
      </c>
      <c r="F27" s="757">
        <f>SUM(F28:F30)</f>
        <v>3123.45</v>
      </c>
      <c r="G27" s="105">
        <f>SUM(G28:G30)</f>
        <v>1034.5</v>
      </c>
      <c r="H27" s="757">
        <f>SUM(H28:H30)</f>
        <v>0</v>
      </c>
      <c r="I27" s="757">
        <f t="shared" si="2"/>
        <v>3572.3159999999998</v>
      </c>
      <c r="J27" s="757">
        <f>SUM(J28:J30)</f>
        <v>2773.98</v>
      </c>
      <c r="K27" s="105">
        <f>SUM(K28:K30)</f>
        <v>798.33600000000001</v>
      </c>
      <c r="L27" s="757">
        <f>SUM(L28:L30)</f>
        <v>0</v>
      </c>
      <c r="M27" s="611"/>
      <c r="N27" s="611"/>
      <c r="O27" s="611"/>
      <c r="P27" s="611"/>
      <c r="Q27" s="611"/>
      <c r="R27" s="611"/>
      <c r="S27" s="611"/>
      <c r="T27" s="611"/>
      <c r="U27" s="611"/>
      <c r="V27" s="611"/>
      <c r="W27" s="611"/>
      <c r="X27" s="611"/>
      <c r="Y27" s="611"/>
      <c r="Z27" s="611"/>
      <c r="AA27" s="611"/>
      <c r="AB27" s="611"/>
      <c r="AC27" s="611"/>
      <c r="AD27" s="611"/>
      <c r="AE27" s="611"/>
      <c r="AF27" s="611"/>
      <c r="AG27" s="611"/>
      <c r="AH27" s="611"/>
      <c r="AI27" s="611"/>
      <c r="AJ27" s="611"/>
      <c r="AK27" s="611"/>
      <c r="AL27" s="611"/>
      <c r="AM27" s="611"/>
      <c r="AN27" s="611"/>
      <c r="AO27" s="611"/>
      <c r="AP27" s="611"/>
      <c r="AQ27" s="611"/>
      <c r="AR27" s="611"/>
      <c r="AS27" s="611"/>
      <c r="AT27" s="611"/>
      <c r="AU27" s="611"/>
      <c r="AV27" s="611"/>
      <c r="AW27" s="611"/>
      <c r="AX27" s="611"/>
      <c r="AY27" s="611"/>
      <c r="AZ27" s="611"/>
      <c r="BA27" s="611"/>
      <c r="BB27" s="611"/>
      <c r="BC27" s="611"/>
      <c r="BD27" s="611"/>
      <c r="BE27" s="611"/>
      <c r="BF27" s="611"/>
      <c r="BG27" s="611"/>
      <c r="BH27" s="611"/>
      <c r="BI27" s="611"/>
      <c r="BJ27" s="611"/>
      <c r="BK27" s="611"/>
      <c r="BL27" s="611"/>
      <c r="BM27" s="611"/>
      <c r="BN27" s="611"/>
      <c r="BO27" s="611"/>
      <c r="BP27" s="611"/>
      <c r="BQ27" s="611"/>
    </row>
    <row r="28" spans="1:69" s="621" customFormat="1" ht="29.25" customHeight="1">
      <c r="A28" s="613"/>
      <c r="B28" s="614" t="s">
        <v>619</v>
      </c>
      <c r="C28" s="728" t="s">
        <v>62</v>
      </c>
      <c r="D28" s="723" t="s">
        <v>543</v>
      </c>
      <c r="E28" s="722">
        <f t="shared" si="0"/>
        <v>3108.87</v>
      </c>
      <c r="F28" s="722">
        <v>3108.87</v>
      </c>
      <c r="G28" s="731">
        <v>0</v>
      </c>
      <c r="H28" s="722">
        <v>0</v>
      </c>
      <c r="I28" s="722">
        <f t="shared" si="2"/>
        <v>2768.8</v>
      </c>
      <c r="J28" s="722">
        <v>2768.8</v>
      </c>
      <c r="K28" s="730">
        <v>0</v>
      </c>
      <c r="L28" s="722">
        <v>0</v>
      </c>
      <c r="M28" s="620"/>
      <c r="N28" s="620"/>
      <c r="O28" s="620"/>
      <c r="P28" s="620"/>
      <c r="Q28" s="620"/>
      <c r="R28" s="620"/>
      <c r="S28" s="620"/>
      <c r="T28" s="620"/>
      <c r="U28" s="620"/>
      <c r="V28" s="620"/>
      <c r="W28" s="620"/>
      <c r="X28" s="620"/>
      <c r="Y28" s="620"/>
      <c r="Z28" s="620"/>
      <c r="AA28" s="620"/>
      <c r="AB28" s="620"/>
      <c r="AC28" s="620"/>
      <c r="AD28" s="620"/>
      <c r="AE28" s="620"/>
      <c r="AF28" s="620"/>
      <c r="AG28" s="620"/>
      <c r="AH28" s="620"/>
      <c r="AI28" s="620"/>
      <c r="AJ28" s="620"/>
      <c r="AK28" s="620"/>
      <c r="AL28" s="620"/>
      <c r="AM28" s="620"/>
      <c r="AN28" s="620"/>
      <c r="AO28" s="620"/>
      <c r="AP28" s="620"/>
      <c r="AQ28" s="620"/>
      <c r="AR28" s="620"/>
      <c r="AS28" s="620"/>
      <c r="AT28" s="620"/>
      <c r="AU28" s="620"/>
      <c r="AV28" s="620"/>
      <c r="AW28" s="620"/>
      <c r="AX28" s="620"/>
      <c r="AY28" s="620"/>
      <c r="AZ28" s="620"/>
      <c r="BA28" s="620"/>
      <c r="BB28" s="620"/>
      <c r="BC28" s="620"/>
      <c r="BD28" s="620"/>
      <c r="BE28" s="620"/>
      <c r="BF28" s="620"/>
      <c r="BG28" s="620"/>
      <c r="BH28" s="620"/>
      <c r="BI28" s="620"/>
      <c r="BJ28" s="620"/>
      <c r="BK28" s="620"/>
      <c r="BL28" s="620"/>
      <c r="BM28" s="620"/>
      <c r="BN28" s="620"/>
      <c r="BO28" s="620"/>
      <c r="BP28" s="620"/>
      <c r="BQ28" s="620"/>
    </row>
    <row r="29" spans="1:69" s="621" customFormat="1" ht="54" customHeight="1">
      <c r="A29" s="613"/>
      <c r="B29" s="614" t="s">
        <v>620</v>
      </c>
      <c r="C29" s="728" t="s">
        <v>62</v>
      </c>
      <c r="D29" s="723" t="s">
        <v>543</v>
      </c>
      <c r="E29" s="722">
        <f t="shared" si="0"/>
        <v>1034.5</v>
      </c>
      <c r="F29" s="722">
        <v>0</v>
      </c>
      <c r="G29" s="731">
        <v>1034.5</v>
      </c>
      <c r="H29" s="722">
        <v>0</v>
      </c>
      <c r="I29" s="722">
        <f t="shared" si="2"/>
        <v>798.33600000000001</v>
      </c>
      <c r="J29" s="722">
        <v>0</v>
      </c>
      <c r="K29" s="730">
        <v>798.33600000000001</v>
      </c>
      <c r="L29" s="722">
        <v>0</v>
      </c>
      <c r="M29" s="620"/>
      <c r="N29" s="620"/>
      <c r="O29" s="620"/>
      <c r="P29" s="620"/>
      <c r="Q29" s="620"/>
      <c r="R29" s="620"/>
      <c r="S29" s="620"/>
      <c r="T29" s="620"/>
      <c r="U29" s="620"/>
      <c r="V29" s="620"/>
      <c r="W29" s="620"/>
      <c r="X29" s="620"/>
      <c r="Y29" s="620"/>
      <c r="Z29" s="620"/>
      <c r="AA29" s="620"/>
      <c r="AB29" s="620"/>
      <c r="AC29" s="620"/>
      <c r="AD29" s="620"/>
      <c r="AE29" s="620"/>
      <c r="AF29" s="620"/>
      <c r="AG29" s="620"/>
      <c r="AH29" s="620"/>
      <c r="AI29" s="620"/>
      <c r="AJ29" s="620"/>
      <c r="AK29" s="620"/>
      <c r="AL29" s="620"/>
      <c r="AM29" s="620"/>
      <c r="AN29" s="620"/>
      <c r="AO29" s="620"/>
      <c r="AP29" s="620"/>
      <c r="AQ29" s="620"/>
      <c r="AR29" s="620"/>
      <c r="AS29" s="620"/>
      <c r="AT29" s="620"/>
      <c r="AU29" s="620"/>
      <c r="AV29" s="620"/>
      <c r="AW29" s="620"/>
      <c r="AX29" s="620"/>
      <c r="AY29" s="620"/>
      <c r="AZ29" s="620"/>
      <c r="BA29" s="620"/>
      <c r="BB29" s="620"/>
      <c r="BC29" s="620"/>
      <c r="BD29" s="620"/>
      <c r="BE29" s="620"/>
      <c r="BF29" s="620"/>
      <c r="BG29" s="620"/>
      <c r="BH29" s="620"/>
      <c r="BI29" s="620"/>
      <c r="BJ29" s="620"/>
      <c r="BK29" s="620"/>
      <c r="BL29" s="620"/>
      <c r="BM29" s="620"/>
      <c r="BN29" s="620"/>
      <c r="BO29" s="620"/>
      <c r="BP29" s="620"/>
      <c r="BQ29" s="620"/>
    </row>
    <row r="30" spans="1:69" s="621" customFormat="1" ht="44.25" customHeight="1">
      <c r="A30" s="613"/>
      <c r="B30" s="614" t="s">
        <v>621</v>
      </c>
      <c r="C30" s="728" t="s">
        <v>62</v>
      </c>
      <c r="D30" s="723" t="s">
        <v>543</v>
      </c>
      <c r="E30" s="722">
        <f t="shared" si="0"/>
        <v>14.58</v>
      </c>
      <c r="F30" s="722">
        <v>14.58</v>
      </c>
      <c r="G30" s="731">
        <v>0</v>
      </c>
      <c r="H30" s="722">
        <v>0</v>
      </c>
      <c r="I30" s="722">
        <f t="shared" si="2"/>
        <v>5.18</v>
      </c>
      <c r="J30" s="722">
        <v>5.18</v>
      </c>
      <c r="K30" s="730">
        <v>0</v>
      </c>
      <c r="L30" s="722">
        <v>0</v>
      </c>
      <c r="M30" s="620"/>
      <c r="N30" s="620"/>
      <c r="O30" s="620"/>
      <c r="P30" s="620"/>
      <c r="Q30" s="620"/>
      <c r="R30" s="620"/>
      <c r="S30" s="620"/>
      <c r="T30" s="620"/>
      <c r="U30" s="620"/>
      <c r="V30" s="620"/>
      <c r="W30" s="620"/>
      <c r="X30" s="620"/>
      <c r="Y30" s="620"/>
      <c r="Z30" s="620"/>
      <c r="AA30" s="620"/>
      <c r="AB30" s="620"/>
      <c r="AC30" s="620"/>
      <c r="AD30" s="620"/>
      <c r="AE30" s="620"/>
      <c r="AF30" s="620"/>
      <c r="AG30" s="620"/>
      <c r="AH30" s="620"/>
      <c r="AI30" s="620"/>
      <c r="AJ30" s="620"/>
      <c r="AK30" s="620"/>
      <c r="AL30" s="620"/>
      <c r="AM30" s="620"/>
      <c r="AN30" s="620"/>
      <c r="AO30" s="620"/>
      <c r="AP30" s="620"/>
      <c r="AQ30" s="620"/>
      <c r="AR30" s="620"/>
      <c r="AS30" s="620"/>
      <c r="AT30" s="620"/>
      <c r="AU30" s="620"/>
      <c r="AV30" s="620"/>
      <c r="AW30" s="620"/>
      <c r="AX30" s="620"/>
      <c r="AY30" s="620"/>
      <c r="AZ30" s="620"/>
      <c r="BA30" s="620"/>
      <c r="BB30" s="620"/>
      <c r="BC30" s="620"/>
      <c r="BD30" s="620"/>
      <c r="BE30" s="620"/>
      <c r="BF30" s="620"/>
      <c r="BG30" s="620"/>
      <c r="BH30" s="620"/>
      <c r="BI30" s="620"/>
      <c r="BJ30" s="620"/>
      <c r="BK30" s="620"/>
      <c r="BL30" s="620"/>
      <c r="BM30" s="620"/>
      <c r="BN30" s="620"/>
      <c r="BO30" s="620"/>
      <c r="BP30" s="620"/>
      <c r="BQ30" s="620"/>
    </row>
    <row r="31" spans="1:69" s="612" customFormat="1" ht="110.25">
      <c r="A31" s="753" t="s">
        <v>283</v>
      </c>
      <c r="B31" s="193" t="s">
        <v>432</v>
      </c>
      <c r="C31" s="194" t="s">
        <v>585</v>
      </c>
      <c r="D31" s="194" t="s">
        <v>543</v>
      </c>
      <c r="E31" s="757">
        <f t="shared" si="0"/>
        <v>300</v>
      </c>
      <c r="F31" s="757">
        <v>0</v>
      </c>
      <c r="G31" s="105">
        <v>0</v>
      </c>
      <c r="H31" s="830">
        <v>300</v>
      </c>
      <c r="I31" s="757">
        <f t="shared" si="2"/>
        <v>0</v>
      </c>
      <c r="J31" s="757">
        <v>0</v>
      </c>
      <c r="K31" s="745">
        <v>0</v>
      </c>
      <c r="L31" s="757">
        <v>0</v>
      </c>
      <c r="M31" s="611"/>
      <c r="N31" s="611"/>
      <c r="O31" s="611"/>
      <c r="P31" s="611"/>
      <c r="Q31" s="611"/>
      <c r="R31" s="611"/>
      <c r="S31" s="611"/>
      <c r="T31" s="611"/>
      <c r="U31" s="611"/>
      <c r="V31" s="611"/>
      <c r="W31" s="611"/>
      <c r="X31" s="611"/>
      <c r="Y31" s="611"/>
      <c r="Z31" s="611"/>
      <c r="AA31" s="611"/>
      <c r="AB31" s="611"/>
      <c r="AC31" s="611"/>
      <c r="AD31" s="611"/>
      <c r="AE31" s="611"/>
      <c r="AF31" s="611"/>
      <c r="AG31" s="611"/>
      <c r="AH31" s="611"/>
      <c r="AI31" s="611"/>
      <c r="AJ31" s="611"/>
      <c r="AK31" s="611"/>
      <c r="AL31" s="611"/>
      <c r="AM31" s="611"/>
      <c r="AN31" s="611"/>
      <c r="AO31" s="611"/>
      <c r="AP31" s="611"/>
      <c r="AQ31" s="611"/>
      <c r="AR31" s="611"/>
      <c r="AS31" s="611"/>
      <c r="AT31" s="611"/>
      <c r="AU31" s="611"/>
      <c r="AV31" s="611"/>
      <c r="AW31" s="611"/>
      <c r="AX31" s="611"/>
      <c r="AY31" s="611"/>
      <c r="AZ31" s="611"/>
      <c r="BA31" s="611"/>
      <c r="BB31" s="611"/>
      <c r="BC31" s="611"/>
      <c r="BD31" s="611"/>
      <c r="BE31" s="611"/>
      <c r="BF31" s="611"/>
      <c r="BG31" s="611"/>
      <c r="BH31" s="611"/>
      <c r="BI31" s="611"/>
      <c r="BJ31" s="611"/>
      <c r="BK31" s="611"/>
      <c r="BL31" s="611"/>
      <c r="BM31" s="611"/>
      <c r="BN31" s="611"/>
      <c r="BO31" s="611"/>
      <c r="BP31" s="611"/>
      <c r="BQ31" s="611"/>
    </row>
    <row r="32" spans="1:69" s="605" customFormat="1" ht="63">
      <c r="A32" s="751" t="s">
        <v>78</v>
      </c>
      <c r="B32" s="749" t="s">
        <v>77</v>
      </c>
      <c r="C32" s="823"/>
      <c r="D32" s="823"/>
      <c r="E32" s="824">
        <f t="shared" si="0"/>
        <v>1964.5149999999999</v>
      </c>
      <c r="F32" s="824">
        <f>F33+F34+F35+F39+F40</f>
        <v>0</v>
      </c>
      <c r="G32" s="827">
        <f>G33+G34+G35+G39+G40</f>
        <v>802.21500000000003</v>
      </c>
      <c r="H32" s="824">
        <f>H33+H34+H35+H39+H40</f>
        <v>1162.3</v>
      </c>
      <c r="I32" s="824">
        <f t="shared" si="2"/>
        <v>4045.5829599999997</v>
      </c>
      <c r="J32" s="824">
        <f>SUM(J33+J34+J35+J39+J40)</f>
        <v>360.68295999999998</v>
      </c>
      <c r="K32" s="827">
        <f>SUM(K33+K34+K35+K39+K40)</f>
        <v>0</v>
      </c>
      <c r="L32" s="824">
        <f>SUM(L33+L34+L35+L39+L40)</f>
        <v>3684.8999999999996</v>
      </c>
      <c r="M32" s="603"/>
      <c r="N32" s="604"/>
      <c r="O32" s="603"/>
      <c r="P32" s="603"/>
      <c r="Q32" s="603"/>
      <c r="R32" s="603"/>
      <c r="S32" s="603"/>
      <c r="T32" s="603"/>
      <c r="U32" s="603"/>
      <c r="V32" s="603"/>
      <c r="W32" s="603"/>
      <c r="X32" s="603"/>
      <c r="Y32" s="603"/>
      <c r="Z32" s="603"/>
      <c r="AA32" s="603"/>
      <c r="AB32" s="603"/>
      <c r="AC32" s="603"/>
      <c r="AD32" s="603"/>
      <c r="AE32" s="603"/>
      <c r="AF32" s="603"/>
      <c r="AG32" s="603"/>
      <c r="AH32" s="603"/>
      <c r="AI32" s="603"/>
      <c r="AJ32" s="603"/>
      <c r="AK32" s="603"/>
      <c r="AL32" s="603"/>
      <c r="AM32" s="603"/>
      <c r="AN32" s="603"/>
      <c r="AO32" s="603"/>
      <c r="AP32" s="603"/>
      <c r="AQ32" s="603"/>
      <c r="AR32" s="603"/>
      <c r="AS32" s="603"/>
      <c r="AT32" s="603"/>
      <c r="AU32" s="603"/>
      <c r="AV32" s="603"/>
      <c r="AW32" s="603"/>
      <c r="AX32" s="603"/>
      <c r="AY32" s="603"/>
      <c r="AZ32" s="603"/>
      <c r="BA32" s="603"/>
      <c r="BB32" s="603"/>
      <c r="BC32" s="603"/>
      <c r="BD32" s="603"/>
      <c r="BE32" s="603"/>
      <c r="BF32" s="603"/>
      <c r="BG32" s="603"/>
      <c r="BH32" s="603"/>
      <c r="BI32" s="603"/>
      <c r="BJ32" s="603"/>
      <c r="BK32" s="603"/>
      <c r="BL32" s="603"/>
      <c r="BM32" s="603"/>
      <c r="BN32" s="603"/>
      <c r="BO32" s="603"/>
      <c r="BP32" s="603"/>
      <c r="BQ32" s="603"/>
    </row>
    <row r="33" spans="1:69" s="612" customFormat="1" ht="63">
      <c r="A33" s="753" t="s">
        <v>296</v>
      </c>
      <c r="B33" s="193" t="s">
        <v>433</v>
      </c>
      <c r="C33" s="194" t="s">
        <v>553</v>
      </c>
      <c r="D33" s="194" t="s">
        <v>543</v>
      </c>
      <c r="E33" s="757">
        <f t="shared" si="0"/>
        <v>802.21500000000003</v>
      </c>
      <c r="F33" s="757">
        <v>0</v>
      </c>
      <c r="G33" s="834">
        <v>802.21500000000003</v>
      </c>
      <c r="H33" s="757">
        <v>0</v>
      </c>
      <c r="I33" s="757">
        <f t="shared" si="2"/>
        <v>2117</v>
      </c>
      <c r="J33" s="757">
        <v>359.88</v>
      </c>
      <c r="K33" s="745">
        <v>0</v>
      </c>
      <c r="L33" s="757">
        <v>1757.12</v>
      </c>
      <c r="M33" s="611"/>
      <c r="N33" s="634"/>
      <c r="O33" s="611"/>
      <c r="P33" s="611"/>
      <c r="Q33" s="611"/>
      <c r="R33" s="611"/>
      <c r="S33" s="611"/>
      <c r="T33" s="611"/>
      <c r="U33" s="611"/>
      <c r="V33" s="611"/>
      <c r="W33" s="611"/>
      <c r="X33" s="611"/>
      <c r="Y33" s="611"/>
      <c r="Z33" s="611"/>
      <c r="AA33" s="611"/>
      <c r="AB33" s="611"/>
      <c r="AC33" s="611"/>
      <c r="AD33" s="611"/>
      <c r="AE33" s="611"/>
      <c r="AF33" s="611"/>
      <c r="AG33" s="611"/>
      <c r="AH33" s="611"/>
      <c r="AI33" s="611"/>
      <c r="AJ33" s="611"/>
      <c r="AK33" s="611"/>
      <c r="AL33" s="611"/>
      <c r="AM33" s="611"/>
      <c r="AN33" s="611"/>
      <c r="AO33" s="611"/>
      <c r="AP33" s="611"/>
      <c r="AQ33" s="611"/>
      <c r="AR33" s="611"/>
      <c r="AS33" s="611"/>
      <c r="AT33" s="611"/>
      <c r="AU33" s="611"/>
      <c r="AV33" s="611"/>
      <c r="AW33" s="611"/>
      <c r="AX33" s="611"/>
      <c r="AY33" s="611"/>
      <c r="AZ33" s="611"/>
      <c r="BA33" s="611"/>
      <c r="BB33" s="611"/>
      <c r="BC33" s="611"/>
      <c r="BD33" s="611"/>
      <c r="BE33" s="611"/>
      <c r="BF33" s="611"/>
      <c r="BG33" s="611"/>
      <c r="BH33" s="611"/>
      <c r="BI33" s="611"/>
      <c r="BJ33" s="611"/>
      <c r="BK33" s="611"/>
      <c r="BL33" s="611"/>
      <c r="BM33" s="611"/>
      <c r="BN33" s="611"/>
      <c r="BO33" s="611"/>
      <c r="BP33" s="611"/>
      <c r="BQ33" s="611"/>
    </row>
    <row r="34" spans="1:69" s="612" customFormat="1" ht="84" customHeight="1">
      <c r="A34" s="753" t="s">
        <v>297</v>
      </c>
      <c r="B34" s="193" t="s">
        <v>554</v>
      </c>
      <c r="C34" s="194" t="s">
        <v>62</v>
      </c>
      <c r="D34" s="194" t="s">
        <v>543</v>
      </c>
      <c r="E34" s="757">
        <f t="shared" si="0"/>
        <v>0</v>
      </c>
      <c r="F34" s="757">
        <v>0</v>
      </c>
      <c r="G34" s="105">
        <v>0</v>
      </c>
      <c r="H34" s="757">
        <v>0</v>
      </c>
      <c r="I34" s="757">
        <f t="shared" si="2"/>
        <v>0</v>
      </c>
      <c r="J34" s="757">
        <v>0</v>
      </c>
      <c r="K34" s="745">
        <v>0</v>
      </c>
      <c r="L34" s="757">
        <v>0</v>
      </c>
      <c r="M34" s="611"/>
      <c r="N34" s="634"/>
      <c r="O34" s="611"/>
      <c r="P34" s="611"/>
      <c r="Q34" s="611"/>
      <c r="R34" s="611"/>
      <c r="S34" s="611"/>
      <c r="T34" s="611"/>
      <c r="U34" s="611"/>
      <c r="V34" s="611"/>
      <c r="W34" s="611"/>
      <c r="X34" s="611"/>
      <c r="Y34" s="611"/>
      <c r="Z34" s="611"/>
      <c r="AA34" s="611"/>
      <c r="AB34" s="611"/>
      <c r="AC34" s="611"/>
      <c r="AD34" s="611"/>
      <c r="AE34" s="611"/>
      <c r="AF34" s="611"/>
      <c r="AG34" s="611"/>
      <c r="AH34" s="611"/>
      <c r="AI34" s="611"/>
      <c r="AJ34" s="611"/>
      <c r="AK34" s="611"/>
      <c r="AL34" s="611"/>
      <c r="AM34" s="611"/>
      <c r="AN34" s="611"/>
      <c r="AO34" s="611"/>
      <c r="AP34" s="611"/>
      <c r="AQ34" s="611"/>
      <c r="AR34" s="611"/>
      <c r="AS34" s="611"/>
      <c r="AT34" s="611"/>
      <c r="AU34" s="611"/>
      <c r="AV34" s="611"/>
      <c r="AW34" s="611"/>
      <c r="AX34" s="611"/>
      <c r="AY34" s="611"/>
      <c r="AZ34" s="611"/>
      <c r="BA34" s="611"/>
      <c r="BB34" s="611"/>
      <c r="BC34" s="611"/>
      <c r="BD34" s="611"/>
      <c r="BE34" s="611"/>
      <c r="BF34" s="611"/>
      <c r="BG34" s="611"/>
      <c r="BH34" s="611"/>
      <c r="BI34" s="611"/>
      <c r="BJ34" s="611"/>
      <c r="BK34" s="611"/>
      <c r="BL34" s="611"/>
      <c r="BM34" s="611"/>
      <c r="BN34" s="611"/>
      <c r="BO34" s="611"/>
      <c r="BP34" s="611"/>
      <c r="BQ34" s="611"/>
    </row>
    <row r="35" spans="1:69" s="612" customFormat="1" ht="78.75">
      <c r="A35" s="753" t="s">
        <v>298</v>
      </c>
      <c r="B35" s="835" t="s">
        <v>446</v>
      </c>
      <c r="C35" s="194" t="s">
        <v>555</v>
      </c>
      <c r="D35" s="829" t="s">
        <v>543</v>
      </c>
      <c r="E35" s="757">
        <f t="shared" si="0"/>
        <v>1111.3</v>
      </c>
      <c r="F35" s="757">
        <f>SUM(F36:F38)</f>
        <v>0</v>
      </c>
      <c r="G35" s="105">
        <f>SUM(G36:G38)</f>
        <v>0</v>
      </c>
      <c r="H35" s="757">
        <f>SUM(H36:H38)</f>
        <v>1111.3</v>
      </c>
      <c r="I35" s="757">
        <f t="shared" si="2"/>
        <v>1927.78</v>
      </c>
      <c r="J35" s="757">
        <f>SUM(J36:J38)</f>
        <v>0</v>
      </c>
      <c r="K35" s="105">
        <f>SUM(K36:K38)</f>
        <v>0</v>
      </c>
      <c r="L35" s="757">
        <f>SUM(L36:L38)</f>
        <v>1927.78</v>
      </c>
      <c r="M35" s="611"/>
      <c r="N35" s="611"/>
      <c r="O35" s="611"/>
      <c r="P35" s="611"/>
      <c r="Q35" s="611"/>
      <c r="R35" s="611"/>
      <c r="S35" s="611"/>
      <c r="T35" s="611"/>
      <c r="U35" s="611"/>
      <c r="V35" s="611"/>
      <c r="W35" s="611"/>
      <c r="X35" s="611"/>
      <c r="Y35" s="611"/>
      <c r="Z35" s="611"/>
      <c r="AA35" s="611"/>
      <c r="AB35" s="611"/>
      <c r="AC35" s="611"/>
      <c r="AD35" s="611"/>
      <c r="AE35" s="611"/>
      <c r="AF35" s="611"/>
      <c r="AG35" s="611"/>
      <c r="AH35" s="611"/>
      <c r="AI35" s="611"/>
      <c r="AJ35" s="611"/>
      <c r="AK35" s="611"/>
      <c r="AL35" s="611"/>
      <c r="AM35" s="611"/>
      <c r="AN35" s="611"/>
      <c r="AO35" s="611"/>
      <c r="AP35" s="611"/>
      <c r="AQ35" s="611"/>
      <c r="AR35" s="611"/>
      <c r="AS35" s="611"/>
      <c r="AT35" s="611"/>
      <c r="AU35" s="611"/>
      <c r="AV35" s="611"/>
      <c r="AW35" s="611"/>
      <c r="AX35" s="611"/>
      <c r="AY35" s="611"/>
      <c r="AZ35" s="611"/>
      <c r="BA35" s="611"/>
      <c r="BB35" s="611"/>
      <c r="BC35" s="611"/>
      <c r="BD35" s="611"/>
      <c r="BE35" s="611"/>
      <c r="BF35" s="611"/>
      <c r="BG35" s="611"/>
      <c r="BH35" s="611"/>
      <c r="BI35" s="611"/>
      <c r="BJ35" s="611"/>
      <c r="BK35" s="611"/>
      <c r="BL35" s="611"/>
      <c r="BM35" s="611"/>
      <c r="BN35" s="611"/>
      <c r="BO35" s="611"/>
      <c r="BP35" s="611"/>
      <c r="BQ35" s="611"/>
    </row>
    <row r="36" spans="1:69" s="621" customFormat="1" ht="55.5" customHeight="1">
      <c r="A36" s="613"/>
      <c r="B36" s="622" t="s">
        <v>622</v>
      </c>
      <c r="C36" s="724" t="s">
        <v>51</v>
      </c>
      <c r="D36" s="723" t="s">
        <v>543</v>
      </c>
      <c r="E36" s="722">
        <f t="shared" si="0"/>
        <v>672</v>
      </c>
      <c r="F36" s="722">
        <v>0</v>
      </c>
      <c r="G36" s="731">
        <v>0</v>
      </c>
      <c r="H36" s="722">
        <v>672</v>
      </c>
      <c r="I36" s="722">
        <f t="shared" ref="I36:I73" si="3">SUM(J36:L36)</f>
        <v>1817.78</v>
      </c>
      <c r="J36" s="722">
        <v>0</v>
      </c>
      <c r="K36" s="730">
        <v>0</v>
      </c>
      <c r="L36" s="722">
        <v>1817.78</v>
      </c>
      <c r="M36" s="620"/>
      <c r="N36" s="620"/>
      <c r="O36" s="620"/>
      <c r="P36" s="620"/>
      <c r="Q36" s="620"/>
      <c r="R36" s="620"/>
      <c r="S36" s="620"/>
      <c r="T36" s="620"/>
      <c r="U36" s="620"/>
      <c r="V36" s="620"/>
      <c r="W36" s="620"/>
      <c r="X36" s="620"/>
      <c r="Y36" s="620"/>
      <c r="Z36" s="620"/>
      <c r="AA36" s="620"/>
      <c r="AB36" s="620"/>
      <c r="AC36" s="620"/>
      <c r="AD36" s="620"/>
      <c r="AE36" s="620"/>
      <c r="AF36" s="620"/>
      <c r="AG36" s="620"/>
      <c r="AH36" s="620"/>
      <c r="AI36" s="620"/>
      <c r="AJ36" s="620"/>
      <c r="AK36" s="620"/>
      <c r="AL36" s="620"/>
      <c r="AM36" s="620"/>
      <c r="AN36" s="620"/>
      <c r="AO36" s="620"/>
      <c r="AP36" s="620"/>
      <c r="AQ36" s="620"/>
      <c r="AR36" s="620"/>
      <c r="AS36" s="620"/>
      <c r="AT36" s="620"/>
      <c r="AU36" s="620"/>
      <c r="AV36" s="620"/>
      <c r="AW36" s="620"/>
      <c r="AX36" s="620"/>
      <c r="AY36" s="620"/>
      <c r="AZ36" s="620"/>
      <c r="BA36" s="620"/>
      <c r="BB36" s="620"/>
      <c r="BC36" s="620"/>
      <c r="BD36" s="620"/>
      <c r="BE36" s="620"/>
      <c r="BF36" s="620"/>
      <c r="BG36" s="620"/>
      <c r="BH36" s="620"/>
      <c r="BI36" s="620"/>
      <c r="BJ36" s="620"/>
      <c r="BK36" s="620"/>
      <c r="BL36" s="620"/>
      <c r="BM36" s="620"/>
      <c r="BN36" s="620"/>
      <c r="BO36" s="620"/>
      <c r="BP36" s="620"/>
      <c r="BQ36" s="620"/>
    </row>
    <row r="37" spans="1:69" s="621" customFormat="1" ht="62.25" customHeight="1">
      <c r="A37" s="613"/>
      <c r="B37" s="636" t="s">
        <v>623</v>
      </c>
      <c r="C37" s="723" t="s">
        <v>555</v>
      </c>
      <c r="D37" s="723" t="s">
        <v>543</v>
      </c>
      <c r="E37" s="722">
        <f t="shared" si="0"/>
        <v>136.9</v>
      </c>
      <c r="F37" s="722">
        <v>0</v>
      </c>
      <c r="G37" s="731">
        <v>0</v>
      </c>
      <c r="H37" s="726">
        <v>136.9</v>
      </c>
      <c r="I37" s="722">
        <f t="shared" si="3"/>
        <v>0</v>
      </c>
      <c r="J37" s="722">
        <v>0</v>
      </c>
      <c r="K37" s="730">
        <v>0</v>
      </c>
      <c r="L37" s="722">
        <v>0</v>
      </c>
      <c r="M37" s="620"/>
      <c r="N37" s="620"/>
      <c r="O37" s="620"/>
      <c r="P37" s="620"/>
      <c r="Q37" s="620"/>
      <c r="R37" s="620"/>
      <c r="S37" s="620"/>
      <c r="T37" s="620"/>
      <c r="U37" s="620"/>
      <c r="V37" s="620"/>
      <c r="W37" s="620"/>
      <c r="X37" s="620"/>
      <c r="Y37" s="620"/>
      <c r="Z37" s="620"/>
      <c r="AA37" s="620"/>
      <c r="AB37" s="620"/>
      <c r="AC37" s="620"/>
      <c r="AD37" s="620"/>
      <c r="AE37" s="620"/>
      <c r="AF37" s="620"/>
      <c r="AG37" s="620"/>
      <c r="AH37" s="620"/>
      <c r="AI37" s="620"/>
      <c r="AJ37" s="620"/>
      <c r="AK37" s="620"/>
      <c r="AL37" s="620"/>
      <c r="AM37" s="620"/>
      <c r="AN37" s="620"/>
      <c r="AO37" s="620"/>
      <c r="AP37" s="620"/>
      <c r="AQ37" s="620"/>
      <c r="AR37" s="620"/>
      <c r="AS37" s="620"/>
      <c r="AT37" s="620"/>
      <c r="AU37" s="620"/>
      <c r="AV37" s="620"/>
      <c r="AW37" s="620"/>
      <c r="AX37" s="620"/>
      <c r="AY37" s="620"/>
      <c r="AZ37" s="620"/>
      <c r="BA37" s="620"/>
      <c r="BB37" s="620"/>
      <c r="BC37" s="620"/>
      <c r="BD37" s="620"/>
      <c r="BE37" s="620"/>
      <c r="BF37" s="620"/>
      <c r="BG37" s="620"/>
      <c r="BH37" s="620"/>
      <c r="BI37" s="620"/>
      <c r="BJ37" s="620"/>
      <c r="BK37" s="620"/>
      <c r="BL37" s="620"/>
      <c r="BM37" s="620"/>
      <c r="BN37" s="620"/>
      <c r="BO37" s="620"/>
      <c r="BP37" s="620"/>
      <c r="BQ37" s="620"/>
    </row>
    <row r="38" spans="1:69" s="621" customFormat="1" ht="31.5" customHeight="1">
      <c r="A38" s="613"/>
      <c r="B38" s="622" t="s">
        <v>624</v>
      </c>
      <c r="C38" s="723" t="s">
        <v>51</v>
      </c>
      <c r="D38" s="723" t="s">
        <v>543</v>
      </c>
      <c r="E38" s="722">
        <f t="shared" si="0"/>
        <v>302.39999999999998</v>
      </c>
      <c r="F38" s="722">
        <v>0</v>
      </c>
      <c r="G38" s="731">
        <v>0</v>
      </c>
      <c r="H38" s="726">
        <v>302.39999999999998</v>
      </c>
      <c r="I38" s="722">
        <f t="shared" si="3"/>
        <v>110</v>
      </c>
      <c r="J38" s="722">
        <v>0</v>
      </c>
      <c r="K38" s="730">
        <v>0</v>
      </c>
      <c r="L38" s="722">
        <v>110</v>
      </c>
      <c r="M38" s="620"/>
      <c r="N38" s="620"/>
      <c r="O38" s="620"/>
      <c r="P38" s="620"/>
      <c r="Q38" s="620"/>
      <c r="R38" s="620"/>
      <c r="S38" s="620"/>
      <c r="T38" s="620"/>
      <c r="U38" s="620"/>
      <c r="V38" s="620"/>
      <c r="W38" s="620"/>
      <c r="X38" s="620"/>
      <c r="Y38" s="620"/>
      <c r="Z38" s="620"/>
      <c r="AA38" s="620"/>
      <c r="AB38" s="620"/>
      <c r="AC38" s="620"/>
      <c r="AD38" s="620"/>
      <c r="AE38" s="620"/>
      <c r="AF38" s="620"/>
      <c r="AG38" s="620"/>
      <c r="AH38" s="620"/>
      <c r="AI38" s="620"/>
      <c r="AJ38" s="620"/>
      <c r="AK38" s="620"/>
      <c r="AL38" s="620"/>
      <c r="AM38" s="620"/>
      <c r="AN38" s="620"/>
      <c r="AO38" s="620"/>
      <c r="AP38" s="620"/>
      <c r="AQ38" s="620"/>
      <c r="AR38" s="620"/>
      <c r="AS38" s="620"/>
      <c r="AT38" s="620"/>
      <c r="AU38" s="620"/>
      <c r="AV38" s="620"/>
      <c r="AW38" s="620"/>
      <c r="AX38" s="620"/>
      <c r="AY38" s="620"/>
      <c r="AZ38" s="620"/>
      <c r="BA38" s="620"/>
      <c r="BB38" s="620"/>
      <c r="BC38" s="620"/>
      <c r="BD38" s="620"/>
      <c r="BE38" s="620"/>
      <c r="BF38" s="620"/>
      <c r="BG38" s="620"/>
      <c r="BH38" s="620"/>
      <c r="BI38" s="620"/>
      <c r="BJ38" s="620"/>
      <c r="BK38" s="620"/>
      <c r="BL38" s="620"/>
      <c r="BM38" s="620"/>
      <c r="BN38" s="620"/>
      <c r="BO38" s="620"/>
      <c r="BP38" s="620"/>
      <c r="BQ38" s="620"/>
    </row>
    <row r="39" spans="1:69" s="612" customFormat="1" ht="47.25">
      <c r="A39" s="753" t="s">
        <v>299</v>
      </c>
      <c r="B39" s="442" t="s">
        <v>556</v>
      </c>
      <c r="C39" s="829" t="s">
        <v>62</v>
      </c>
      <c r="D39" s="829" t="s">
        <v>543</v>
      </c>
      <c r="E39" s="757">
        <f t="shared" si="0"/>
        <v>0</v>
      </c>
      <c r="F39" s="757">
        <v>0</v>
      </c>
      <c r="G39" s="105">
        <v>0</v>
      </c>
      <c r="H39" s="757">
        <v>0</v>
      </c>
      <c r="I39" s="757">
        <f t="shared" si="3"/>
        <v>0.80296000000000001</v>
      </c>
      <c r="J39" s="757">
        <v>0.80296000000000001</v>
      </c>
      <c r="K39" s="745">
        <v>0</v>
      </c>
      <c r="L39" s="757">
        <v>0</v>
      </c>
      <c r="M39" s="611"/>
      <c r="N39" s="611"/>
      <c r="O39" s="611"/>
      <c r="P39" s="611"/>
      <c r="Q39" s="611"/>
      <c r="R39" s="611"/>
      <c r="S39" s="611"/>
      <c r="T39" s="611"/>
      <c r="U39" s="611"/>
      <c r="V39" s="611"/>
      <c r="W39" s="611"/>
      <c r="X39" s="611"/>
      <c r="Y39" s="611"/>
      <c r="Z39" s="611"/>
      <c r="AA39" s="611"/>
      <c r="AB39" s="611"/>
      <c r="AC39" s="611"/>
      <c r="AD39" s="611"/>
      <c r="AE39" s="611"/>
      <c r="AF39" s="611"/>
      <c r="AG39" s="611"/>
      <c r="AH39" s="611"/>
      <c r="AI39" s="611"/>
      <c r="AJ39" s="611"/>
      <c r="AK39" s="611"/>
      <c r="AL39" s="611"/>
      <c r="AM39" s="611"/>
      <c r="AN39" s="611"/>
      <c r="AO39" s="611"/>
      <c r="AP39" s="611"/>
      <c r="AQ39" s="611"/>
      <c r="AR39" s="611"/>
      <c r="AS39" s="611"/>
      <c r="AT39" s="611"/>
      <c r="AU39" s="611"/>
      <c r="AV39" s="611"/>
      <c r="AW39" s="611"/>
      <c r="AX39" s="611"/>
      <c r="AY39" s="611"/>
      <c r="AZ39" s="611"/>
      <c r="BA39" s="611"/>
      <c r="BB39" s="611"/>
      <c r="BC39" s="611"/>
      <c r="BD39" s="611"/>
      <c r="BE39" s="611"/>
      <c r="BF39" s="611"/>
      <c r="BG39" s="611"/>
      <c r="BH39" s="611"/>
      <c r="BI39" s="611"/>
      <c r="BJ39" s="611"/>
      <c r="BK39" s="611"/>
      <c r="BL39" s="611"/>
      <c r="BM39" s="611"/>
      <c r="BN39" s="611"/>
      <c r="BO39" s="611"/>
      <c r="BP39" s="611"/>
      <c r="BQ39" s="611"/>
    </row>
    <row r="40" spans="1:69" s="612" customFormat="1" ht="67.5" customHeight="1">
      <c r="A40" s="836" t="s">
        <v>306</v>
      </c>
      <c r="B40" s="452" t="s">
        <v>557</v>
      </c>
      <c r="C40" s="194" t="s">
        <v>555</v>
      </c>
      <c r="D40" s="829" t="s">
        <v>543</v>
      </c>
      <c r="E40" s="830">
        <f>SUM(F40:H40)</f>
        <v>51</v>
      </c>
      <c r="F40" s="830">
        <f>F41+F42</f>
        <v>0</v>
      </c>
      <c r="G40" s="837">
        <f>G41+G42</f>
        <v>0</v>
      </c>
      <c r="H40" s="830">
        <f>H41+H42</f>
        <v>51</v>
      </c>
      <c r="I40" s="757">
        <f t="shared" si="3"/>
        <v>0</v>
      </c>
      <c r="J40" s="830">
        <f>SUM(J41:J42)</f>
        <v>0</v>
      </c>
      <c r="K40" s="837">
        <v>0</v>
      </c>
      <c r="L40" s="830">
        <v>0</v>
      </c>
      <c r="M40" s="611"/>
      <c r="N40" s="611"/>
      <c r="O40" s="611"/>
      <c r="P40" s="611"/>
      <c r="Q40" s="611"/>
      <c r="R40" s="611"/>
      <c r="S40" s="611"/>
      <c r="T40" s="611"/>
      <c r="U40" s="611"/>
      <c r="V40" s="611"/>
      <c r="W40" s="611"/>
      <c r="X40" s="611"/>
      <c r="Y40" s="611"/>
      <c r="Z40" s="611"/>
      <c r="AA40" s="611"/>
      <c r="AB40" s="611"/>
      <c r="AC40" s="611"/>
      <c r="AD40" s="611"/>
      <c r="AE40" s="611"/>
      <c r="AF40" s="611"/>
      <c r="AG40" s="611"/>
      <c r="AH40" s="611"/>
      <c r="AI40" s="611"/>
      <c r="AJ40" s="611"/>
      <c r="AK40" s="611"/>
      <c r="AL40" s="611"/>
      <c r="AM40" s="611"/>
      <c r="AN40" s="611"/>
      <c r="AO40" s="611"/>
      <c r="AP40" s="611"/>
      <c r="AQ40" s="611"/>
      <c r="AR40" s="611"/>
      <c r="AS40" s="611"/>
      <c r="AT40" s="611"/>
      <c r="AU40" s="611"/>
      <c r="AV40" s="611"/>
      <c r="AW40" s="611"/>
      <c r="AX40" s="611"/>
      <c r="AY40" s="611"/>
      <c r="AZ40" s="611"/>
      <c r="BA40" s="611"/>
      <c r="BB40" s="611"/>
      <c r="BC40" s="611"/>
      <c r="BD40" s="611"/>
      <c r="BE40" s="611"/>
      <c r="BF40" s="611"/>
      <c r="BG40" s="611"/>
      <c r="BH40" s="611"/>
      <c r="BI40" s="611"/>
      <c r="BJ40" s="611"/>
      <c r="BK40" s="611"/>
      <c r="BL40" s="611"/>
      <c r="BM40" s="611"/>
      <c r="BN40" s="611"/>
      <c r="BO40" s="611"/>
      <c r="BP40" s="611"/>
      <c r="BQ40" s="611"/>
    </row>
    <row r="41" spans="1:69" s="622" customFormat="1" ht="18" customHeight="1">
      <c r="A41" s="613"/>
      <c r="B41" s="622" t="s">
        <v>625</v>
      </c>
      <c r="C41" s="724" t="s">
        <v>59</v>
      </c>
      <c r="D41" s="724" t="s">
        <v>543</v>
      </c>
      <c r="E41" s="722">
        <f t="shared" si="0"/>
        <v>0</v>
      </c>
      <c r="F41" s="722">
        <v>0</v>
      </c>
      <c r="G41" s="731">
        <v>0</v>
      </c>
      <c r="H41" s="722">
        <v>0</v>
      </c>
      <c r="I41" s="722">
        <f t="shared" si="3"/>
        <v>0</v>
      </c>
      <c r="J41" s="722">
        <v>0</v>
      </c>
      <c r="K41" s="730">
        <v>0</v>
      </c>
      <c r="L41" s="722">
        <v>0</v>
      </c>
      <c r="M41" s="640"/>
      <c r="N41" s="641"/>
      <c r="O41" s="620"/>
      <c r="P41" s="620"/>
      <c r="Q41" s="620"/>
      <c r="R41" s="620"/>
      <c r="S41" s="620"/>
      <c r="T41" s="620"/>
      <c r="U41" s="620"/>
      <c r="V41" s="620"/>
      <c r="W41" s="620"/>
      <c r="X41" s="620"/>
      <c r="Y41" s="620"/>
      <c r="Z41" s="620"/>
      <c r="AA41" s="620"/>
      <c r="AB41" s="620"/>
      <c r="AC41" s="620"/>
      <c r="AD41" s="620"/>
      <c r="AE41" s="620"/>
      <c r="AF41" s="620"/>
      <c r="AG41" s="620"/>
      <c r="AH41" s="620"/>
      <c r="AI41" s="620"/>
      <c r="AJ41" s="620"/>
      <c r="AK41" s="620"/>
      <c r="AL41" s="620"/>
      <c r="AM41" s="620"/>
      <c r="AN41" s="620"/>
      <c r="AO41" s="620"/>
      <c r="AP41" s="620"/>
      <c r="AQ41" s="620"/>
      <c r="AR41" s="620"/>
      <c r="AS41" s="620"/>
      <c r="AT41" s="620"/>
      <c r="AU41" s="620"/>
      <c r="AV41" s="620"/>
      <c r="AW41" s="620"/>
      <c r="AX41" s="620"/>
      <c r="AY41" s="620"/>
      <c r="AZ41" s="620"/>
      <c r="BA41" s="620"/>
      <c r="BB41" s="620"/>
      <c r="BC41" s="620"/>
      <c r="BD41" s="620"/>
      <c r="BE41" s="620"/>
      <c r="BF41" s="620"/>
      <c r="BG41" s="620"/>
      <c r="BH41" s="620"/>
      <c r="BI41" s="620"/>
      <c r="BJ41" s="620"/>
      <c r="BK41" s="620"/>
      <c r="BL41" s="620"/>
      <c r="BM41" s="620"/>
      <c r="BN41" s="620"/>
      <c r="BO41" s="620"/>
      <c r="BP41" s="620"/>
      <c r="BQ41" s="620"/>
    </row>
    <row r="42" spans="1:69" s="622" customFormat="1" ht="27.75" customHeight="1">
      <c r="A42" s="613"/>
      <c r="B42" s="622" t="s">
        <v>626</v>
      </c>
      <c r="C42" s="724" t="s">
        <v>558</v>
      </c>
      <c r="D42" s="724" t="s">
        <v>543</v>
      </c>
      <c r="E42" s="722">
        <f t="shared" si="0"/>
        <v>51</v>
      </c>
      <c r="F42" s="722">
        <v>0</v>
      </c>
      <c r="G42" s="731">
        <v>0</v>
      </c>
      <c r="H42" s="722">
        <v>51</v>
      </c>
      <c r="I42" s="722">
        <f t="shared" si="3"/>
        <v>0</v>
      </c>
      <c r="J42" s="722">
        <v>0</v>
      </c>
      <c r="K42" s="730">
        <v>0</v>
      </c>
      <c r="L42" s="722">
        <v>0</v>
      </c>
      <c r="M42" s="620"/>
      <c r="N42" s="641"/>
      <c r="O42" s="620"/>
      <c r="P42" s="620"/>
      <c r="Q42" s="620"/>
      <c r="R42" s="620"/>
      <c r="S42" s="620"/>
      <c r="T42" s="620"/>
      <c r="U42" s="620"/>
      <c r="V42" s="620"/>
      <c r="W42" s="620"/>
      <c r="X42" s="620"/>
      <c r="Y42" s="620"/>
      <c r="Z42" s="620"/>
      <c r="AA42" s="620"/>
      <c r="AB42" s="620"/>
      <c r="AC42" s="620"/>
      <c r="AD42" s="620"/>
      <c r="AE42" s="620"/>
      <c r="AF42" s="620"/>
      <c r="AG42" s="620"/>
      <c r="AH42" s="620"/>
      <c r="AI42" s="620"/>
      <c r="AJ42" s="620"/>
      <c r="AK42" s="620"/>
      <c r="AL42" s="620"/>
      <c r="AM42" s="620"/>
      <c r="AN42" s="620"/>
      <c r="AO42" s="620"/>
      <c r="AP42" s="620"/>
      <c r="AQ42" s="620"/>
      <c r="AR42" s="620"/>
      <c r="AS42" s="620"/>
      <c r="AT42" s="620"/>
      <c r="AU42" s="620"/>
      <c r="AV42" s="620"/>
      <c r="AW42" s="620"/>
      <c r="AX42" s="620"/>
      <c r="AY42" s="620"/>
      <c r="AZ42" s="620"/>
      <c r="BA42" s="620"/>
      <c r="BB42" s="620"/>
      <c r="BC42" s="620"/>
      <c r="BD42" s="620"/>
      <c r="BE42" s="620"/>
      <c r="BF42" s="620"/>
      <c r="BG42" s="620"/>
      <c r="BH42" s="620"/>
      <c r="BI42" s="620"/>
      <c r="BJ42" s="620"/>
      <c r="BK42" s="620"/>
      <c r="BL42" s="620"/>
      <c r="BM42" s="620"/>
      <c r="BN42" s="620"/>
      <c r="BO42" s="620"/>
      <c r="BP42" s="620"/>
      <c r="BQ42" s="620"/>
    </row>
    <row r="43" spans="1:69" s="605" customFormat="1" ht="47.25">
      <c r="A43" s="838" t="s">
        <v>559</v>
      </c>
      <c r="B43" s="839" t="s">
        <v>561</v>
      </c>
      <c r="C43" s="840"/>
      <c r="D43" s="840"/>
      <c r="E43" s="824">
        <f t="shared" si="0"/>
        <v>19093.099000000002</v>
      </c>
      <c r="F43" s="824">
        <f>F44+F50+F51+F57+F63</f>
        <v>830.95</v>
      </c>
      <c r="G43" s="827">
        <f>G44+G50+G51+G57+G63</f>
        <v>5124.6490000000003</v>
      </c>
      <c r="H43" s="824">
        <f>H44+H50+H51+H57+H63</f>
        <v>13137.5</v>
      </c>
      <c r="I43" s="841">
        <f t="shared" si="3"/>
        <v>5776.4352999999992</v>
      </c>
      <c r="J43" s="841">
        <f>J44+J50+J51+J57+J63</f>
        <v>672.23</v>
      </c>
      <c r="K43" s="842">
        <f>K44+K50+K51+K57+K63</f>
        <v>2552.819</v>
      </c>
      <c r="L43" s="841">
        <f>L44+L50+L51+L57+L63</f>
        <v>2551.3862999999997</v>
      </c>
      <c r="M43" s="603"/>
      <c r="N43" s="604"/>
      <c r="O43" s="603"/>
      <c r="P43" s="603"/>
      <c r="Q43" s="603"/>
      <c r="R43" s="603"/>
      <c r="S43" s="603"/>
      <c r="T43" s="603"/>
      <c r="U43" s="603"/>
      <c r="V43" s="603"/>
      <c r="W43" s="603"/>
      <c r="X43" s="603"/>
      <c r="Y43" s="603"/>
      <c r="Z43" s="603"/>
      <c r="AA43" s="603"/>
      <c r="AB43" s="603"/>
      <c r="AC43" s="603"/>
      <c r="AD43" s="603"/>
      <c r="AE43" s="603"/>
      <c r="AF43" s="603"/>
      <c r="AG43" s="603"/>
      <c r="AH43" s="603"/>
      <c r="AI43" s="603"/>
      <c r="AJ43" s="603"/>
      <c r="AK43" s="603"/>
      <c r="AL43" s="603"/>
      <c r="AM43" s="603"/>
      <c r="AN43" s="603"/>
      <c r="AO43" s="603"/>
      <c r="AP43" s="603"/>
      <c r="AQ43" s="603"/>
      <c r="AR43" s="603"/>
      <c r="AS43" s="603"/>
      <c r="AT43" s="603"/>
      <c r="AU43" s="603"/>
      <c r="AV43" s="603"/>
      <c r="AW43" s="603"/>
      <c r="AX43" s="603"/>
      <c r="AY43" s="603"/>
      <c r="AZ43" s="603"/>
      <c r="BA43" s="603"/>
      <c r="BB43" s="603"/>
      <c r="BC43" s="603"/>
      <c r="BD43" s="603"/>
      <c r="BE43" s="603"/>
      <c r="BF43" s="603"/>
      <c r="BG43" s="603"/>
      <c r="BH43" s="603"/>
      <c r="BI43" s="603"/>
      <c r="BJ43" s="603"/>
      <c r="BK43" s="603"/>
      <c r="BL43" s="603"/>
      <c r="BM43" s="603"/>
      <c r="BN43" s="603"/>
      <c r="BO43" s="603"/>
      <c r="BP43" s="603"/>
      <c r="BQ43" s="603"/>
    </row>
    <row r="44" spans="1:69" s="612" customFormat="1" ht="122.25" customHeight="1">
      <c r="A44" s="753" t="s">
        <v>562</v>
      </c>
      <c r="B44" s="442" t="s">
        <v>455</v>
      </c>
      <c r="C44" s="194" t="s">
        <v>59</v>
      </c>
      <c r="D44" s="194" t="s">
        <v>543</v>
      </c>
      <c r="E44" s="757">
        <f t="shared" si="0"/>
        <v>13730.95</v>
      </c>
      <c r="F44" s="757">
        <f>SUM(F45:F49)</f>
        <v>830.95</v>
      </c>
      <c r="G44" s="105">
        <f>SUM(G45:G49)</f>
        <v>0</v>
      </c>
      <c r="H44" s="757">
        <f>SUM(H45:H49)</f>
        <v>12900</v>
      </c>
      <c r="I44" s="757">
        <f t="shared" si="3"/>
        <v>2151.4663</v>
      </c>
      <c r="J44" s="757">
        <f>SUM(J45:J49)</f>
        <v>672.23</v>
      </c>
      <c r="K44" s="105">
        <f>SUM(K45:K49)</f>
        <v>0</v>
      </c>
      <c r="L44" s="757">
        <f>SUM(L45:L49)</f>
        <v>1479.2363</v>
      </c>
      <c r="M44" s="611"/>
      <c r="N44" s="634"/>
      <c r="O44" s="611"/>
      <c r="P44" s="611"/>
      <c r="Q44" s="611"/>
      <c r="R44" s="611"/>
      <c r="S44" s="611"/>
      <c r="T44" s="611"/>
      <c r="U44" s="611"/>
      <c r="V44" s="611"/>
      <c r="W44" s="611"/>
      <c r="X44" s="611"/>
      <c r="Y44" s="611"/>
      <c r="Z44" s="611"/>
      <c r="AA44" s="611"/>
      <c r="AB44" s="611"/>
      <c r="AC44" s="611"/>
      <c r="AD44" s="611"/>
      <c r="AE44" s="611"/>
      <c r="AF44" s="611"/>
      <c r="AG44" s="611"/>
      <c r="AH44" s="611"/>
      <c r="AI44" s="611"/>
      <c r="AJ44" s="611"/>
      <c r="AK44" s="611"/>
      <c r="AL44" s="611"/>
      <c r="AM44" s="611"/>
      <c r="AN44" s="611"/>
      <c r="AO44" s="611"/>
      <c r="AP44" s="611"/>
      <c r="AQ44" s="611"/>
      <c r="AR44" s="611"/>
      <c r="AS44" s="611"/>
      <c r="AT44" s="611"/>
      <c r="AU44" s="611"/>
      <c r="AV44" s="611"/>
      <c r="AW44" s="611"/>
      <c r="AX44" s="611"/>
      <c r="AY44" s="611"/>
      <c r="AZ44" s="611"/>
      <c r="BA44" s="611"/>
      <c r="BB44" s="611"/>
      <c r="BC44" s="611"/>
      <c r="BD44" s="611"/>
      <c r="BE44" s="611"/>
      <c r="BF44" s="611"/>
      <c r="BG44" s="611"/>
      <c r="BH44" s="611"/>
      <c r="BI44" s="611"/>
      <c r="BJ44" s="611"/>
      <c r="BK44" s="611"/>
      <c r="BL44" s="611"/>
      <c r="BM44" s="611"/>
      <c r="BN44" s="611"/>
      <c r="BO44" s="611"/>
      <c r="BP44" s="611"/>
      <c r="BQ44" s="611"/>
    </row>
    <row r="45" spans="1:69" s="621" customFormat="1" ht="40.5" customHeight="1">
      <c r="A45" s="613"/>
      <c r="B45" s="646" t="s">
        <v>627</v>
      </c>
      <c r="C45" s="724" t="s">
        <v>59</v>
      </c>
      <c r="D45" s="724" t="s">
        <v>543</v>
      </c>
      <c r="E45" s="722">
        <f t="shared" si="0"/>
        <v>830.95</v>
      </c>
      <c r="F45" s="722">
        <v>830.95</v>
      </c>
      <c r="G45" s="731">
        <v>0</v>
      </c>
      <c r="H45" s="722">
        <v>0</v>
      </c>
      <c r="I45" s="722">
        <f t="shared" si="3"/>
        <v>758.9</v>
      </c>
      <c r="J45" s="722">
        <v>672.23</v>
      </c>
      <c r="K45" s="730">
        <v>0</v>
      </c>
      <c r="L45" s="722">
        <v>86.67</v>
      </c>
      <c r="M45" s="620"/>
      <c r="N45" s="620"/>
      <c r="O45" s="620"/>
      <c r="P45" s="620"/>
      <c r="Q45" s="620"/>
      <c r="R45" s="620"/>
      <c r="S45" s="620"/>
      <c r="T45" s="620"/>
      <c r="U45" s="620"/>
      <c r="V45" s="620"/>
      <c r="W45" s="620"/>
      <c r="X45" s="620"/>
      <c r="Y45" s="620"/>
      <c r="Z45" s="620"/>
      <c r="AA45" s="620"/>
      <c r="AB45" s="620"/>
      <c r="AC45" s="620"/>
      <c r="AD45" s="620"/>
      <c r="AE45" s="620"/>
      <c r="AF45" s="620"/>
      <c r="AG45" s="620"/>
      <c r="AH45" s="620"/>
      <c r="AI45" s="620"/>
      <c r="AJ45" s="620"/>
      <c r="AK45" s="620"/>
      <c r="AL45" s="620"/>
      <c r="AM45" s="620"/>
      <c r="AN45" s="620"/>
      <c r="AO45" s="620"/>
      <c r="AP45" s="620"/>
      <c r="AQ45" s="620"/>
      <c r="AR45" s="620"/>
      <c r="AS45" s="620"/>
      <c r="AT45" s="620"/>
      <c r="AU45" s="620"/>
      <c r="AV45" s="620"/>
      <c r="AW45" s="620"/>
      <c r="AX45" s="620"/>
      <c r="AY45" s="620"/>
      <c r="AZ45" s="620"/>
      <c r="BA45" s="620"/>
      <c r="BB45" s="620"/>
      <c r="BC45" s="620"/>
      <c r="BD45" s="620"/>
      <c r="BE45" s="620"/>
      <c r="BF45" s="620"/>
      <c r="BG45" s="620"/>
      <c r="BH45" s="620"/>
      <c r="BI45" s="620"/>
      <c r="BJ45" s="620"/>
      <c r="BK45" s="620"/>
      <c r="BL45" s="620"/>
      <c r="BM45" s="620"/>
      <c r="BN45" s="620"/>
      <c r="BO45" s="620"/>
      <c r="BP45" s="620"/>
      <c r="BQ45" s="620"/>
    </row>
    <row r="46" spans="1:69" s="594" customFormat="1" ht="42.75" customHeight="1">
      <c r="A46" s="751"/>
      <c r="B46" s="646" t="s">
        <v>628</v>
      </c>
      <c r="C46" s="724" t="s">
        <v>59</v>
      </c>
      <c r="D46" s="724" t="s">
        <v>543</v>
      </c>
      <c r="E46" s="722">
        <f t="shared" si="0"/>
        <v>0</v>
      </c>
      <c r="F46" s="722">
        <v>0</v>
      </c>
      <c r="G46" s="731">
        <v>0</v>
      </c>
      <c r="H46" s="722">
        <v>0</v>
      </c>
      <c r="I46" s="722">
        <f t="shared" si="3"/>
        <v>0</v>
      </c>
      <c r="J46" s="722">
        <v>0</v>
      </c>
      <c r="K46" s="730">
        <v>0</v>
      </c>
      <c r="L46" s="722">
        <v>0</v>
      </c>
      <c r="M46" s="593"/>
      <c r="N46" s="593"/>
      <c r="O46" s="593"/>
      <c r="P46" s="593"/>
      <c r="Q46" s="593"/>
      <c r="R46" s="593"/>
      <c r="S46" s="593"/>
      <c r="T46" s="593"/>
      <c r="U46" s="593"/>
      <c r="V46" s="593"/>
      <c r="W46" s="593"/>
      <c r="X46" s="593"/>
      <c r="Y46" s="593"/>
      <c r="Z46" s="593"/>
      <c r="AA46" s="593"/>
      <c r="AB46" s="593"/>
      <c r="AC46" s="593"/>
      <c r="AD46" s="593"/>
      <c r="AE46" s="593"/>
      <c r="AF46" s="593"/>
      <c r="AG46" s="593"/>
      <c r="AH46" s="593"/>
      <c r="AI46" s="593"/>
      <c r="AJ46" s="593"/>
      <c r="AK46" s="593"/>
      <c r="AL46" s="593"/>
      <c r="AM46" s="593"/>
      <c r="AN46" s="593"/>
      <c r="AO46" s="593"/>
      <c r="AP46" s="593"/>
      <c r="AQ46" s="593"/>
      <c r="AR46" s="593"/>
      <c r="AS46" s="593"/>
      <c r="AT46" s="593"/>
      <c r="AU46" s="593"/>
      <c r="AV46" s="593"/>
      <c r="AW46" s="593"/>
      <c r="AX46" s="593"/>
      <c r="AY46" s="593"/>
      <c r="AZ46" s="593"/>
      <c r="BA46" s="593"/>
      <c r="BB46" s="593"/>
      <c r="BC46" s="593"/>
      <c r="BD46" s="593"/>
      <c r="BE46" s="593"/>
      <c r="BF46" s="593"/>
      <c r="BG46" s="593"/>
      <c r="BH46" s="593"/>
      <c r="BI46" s="593"/>
      <c r="BJ46" s="593"/>
      <c r="BK46" s="593"/>
      <c r="BL46" s="593"/>
      <c r="BM46" s="593"/>
      <c r="BN46" s="593"/>
      <c r="BO46" s="593"/>
      <c r="BP46" s="593"/>
      <c r="BQ46" s="593"/>
    </row>
    <row r="47" spans="1:69" s="594" customFormat="1" ht="29.25" customHeight="1">
      <c r="A47" s="753"/>
      <c r="B47" s="646" t="s">
        <v>629</v>
      </c>
      <c r="C47" s="724" t="s">
        <v>59</v>
      </c>
      <c r="D47" s="724" t="s">
        <v>543</v>
      </c>
      <c r="E47" s="722">
        <f t="shared" si="0"/>
        <v>0</v>
      </c>
      <c r="F47" s="722">
        <v>0</v>
      </c>
      <c r="G47" s="731">
        <v>0</v>
      </c>
      <c r="H47" s="722">
        <v>0</v>
      </c>
      <c r="I47" s="722">
        <f t="shared" si="3"/>
        <v>0</v>
      </c>
      <c r="J47" s="722">
        <v>0</v>
      </c>
      <c r="K47" s="730">
        <v>0</v>
      </c>
      <c r="L47" s="722">
        <v>0</v>
      </c>
      <c r="M47" s="593"/>
      <c r="N47" s="593"/>
      <c r="O47" s="593"/>
      <c r="P47" s="593"/>
      <c r="Q47" s="593"/>
      <c r="R47" s="593"/>
      <c r="S47" s="593"/>
      <c r="T47" s="593"/>
      <c r="U47" s="593"/>
      <c r="V47" s="593"/>
      <c r="W47" s="593"/>
      <c r="X47" s="593"/>
      <c r="Y47" s="593"/>
      <c r="Z47" s="593"/>
      <c r="AA47" s="593"/>
      <c r="AB47" s="593"/>
      <c r="AC47" s="593"/>
      <c r="AD47" s="593"/>
      <c r="AE47" s="593"/>
      <c r="AF47" s="593"/>
      <c r="AG47" s="593"/>
      <c r="AH47" s="593"/>
      <c r="AI47" s="593"/>
      <c r="AJ47" s="593"/>
      <c r="AK47" s="593"/>
      <c r="AL47" s="593"/>
      <c r="AM47" s="593"/>
      <c r="AN47" s="593"/>
      <c r="AO47" s="593"/>
      <c r="AP47" s="593"/>
      <c r="AQ47" s="593"/>
      <c r="AR47" s="593"/>
      <c r="AS47" s="593"/>
      <c r="AT47" s="593"/>
      <c r="AU47" s="593"/>
      <c r="AV47" s="593"/>
      <c r="AW47" s="593"/>
      <c r="AX47" s="593"/>
      <c r="AY47" s="593"/>
      <c r="AZ47" s="593"/>
      <c r="BA47" s="593"/>
      <c r="BB47" s="593"/>
      <c r="BC47" s="593"/>
      <c r="BD47" s="593"/>
      <c r="BE47" s="593"/>
      <c r="BF47" s="593"/>
      <c r="BG47" s="593"/>
      <c r="BH47" s="593"/>
      <c r="BI47" s="593"/>
      <c r="BJ47" s="593"/>
      <c r="BK47" s="593"/>
      <c r="BL47" s="593"/>
      <c r="BM47" s="593"/>
      <c r="BN47" s="593"/>
      <c r="BO47" s="593"/>
      <c r="BP47" s="593"/>
      <c r="BQ47" s="593"/>
    </row>
    <row r="48" spans="1:69" s="594" customFormat="1" ht="80.25" customHeight="1">
      <c r="A48" s="753"/>
      <c r="B48" s="646" t="s">
        <v>630</v>
      </c>
      <c r="C48" s="725" t="s">
        <v>560</v>
      </c>
      <c r="D48" s="724" t="s">
        <v>543</v>
      </c>
      <c r="E48" s="722">
        <f t="shared" si="0"/>
        <v>12900</v>
      </c>
      <c r="F48" s="722">
        <v>0</v>
      </c>
      <c r="G48" s="731">
        <v>0</v>
      </c>
      <c r="H48" s="722">
        <v>12900</v>
      </c>
      <c r="I48" s="722">
        <f t="shared" si="3"/>
        <v>1392.5663</v>
      </c>
      <c r="J48" s="722">
        <v>0</v>
      </c>
      <c r="K48" s="730">
        <v>0</v>
      </c>
      <c r="L48" s="722">
        <f>816.4+576.1663</f>
        <v>1392.5663</v>
      </c>
      <c r="M48" s="593"/>
      <c r="N48" s="593"/>
      <c r="O48" s="593"/>
      <c r="P48" s="593"/>
      <c r="Q48" s="593"/>
      <c r="R48" s="593"/>
      <c r="S48" s="593"/>
      <c r="T48" s="593"/>
      <c r="U48" s="593"/>
      <c r="V48" s="593"/>
      <c r="W48" s="593"/>
      <c r="X48" s="593"/>
      <c r="Y48" s="593"/>
      <c r="Z48" s="593"/>
      <c r="AA48" s="593"/>
      <c r="AB48" s="593"/>
      <c r="AC48" s="593"/>
      <c r="AD48" s="593"/>
      <c r="AE48" s="593"/>
      <c r="AF48" s="593"/>
      <c r="AG48" s="593"/>
      <c r="AH48" s="593"/>
      <c r="AI48" s="593"/>
      <c r="AJ48" s="593"/>
      <c r="AK48" s="593"/>
      <c r="AL48" s="593"/>
      <c r="AM48" s="593"/>
      <c r="AN48" s="593"/>
      <c r="AO48" s="593"/>
      <c r="AP48" s="593"/>
      <c r="AQ48" s="593"/>
      <c r="AR48" s="593"/>
      <c r="AS48" s="593"/>
      <c r="AT48" s="593"/>
      <c r="AU48" s="593"/>
      <c r="AV48" s="593"/>
      <c r="AW48" s="593"/>
      <c r="AX48" s="593"/>
      <c r="AY48" s="593"/>
      <c r="AZ48" s="593"/>
      <c r="BA48" s="593"/>
      <c r="BB48" s="593"/>
      <c r="BC48" s="593"/>
      <c r="BD48" s="593"/>
      <c r="BE48" s="593"/>
      <c r="BF48" s="593"/>
      <c r="BG48" s="593"/>
      <c r="BH48" s="593"/>
      <c r="BI48" s="593"/>
      <c r="BJ48" s="593"/>
      <c r="BK48" s="593"/>
      <c r="BL48" s="593"/>
      <c r="BM48" s="593"/>
      <c r="BN48" s="593"/>
      <c r="BO48" s="593"/>
      <c r="BP48" s="593"/>
      <c r="BQ48" s="593"/>
    </row>
    <row r="49" spans="1:69" s="594" customFormat="1" ht="42.75" customHeight="1">
      <c r="A49" s="753"/>
      <c r="B49" s="646" t="s">
        <v>631</v>
      </c>
      <c r="C49" s="725" t="s">
        <v>62</v>
      </c>
      <c r="D49" s="724" t="s">
        <v>543</v>
      </c>
      <c r="E49" s="722">
        <f t="shared" si="0"/>
        <v>0</v>
      </c>
      <c r="F49" s="722">
        <v>0</v>
      </c>
      <c r="G49" s="731">
        <v>0</v>
      </c>
      <c r="H49" s="722">
        <v>0</v>
      </c>
      <c r="I49" s="722">
        <f t="shared" si="3"/>
        <v>0</v>
      </c>
      <c r="J49" s="722">
        <v>0</v>
      </c>
      <c r="K49" s="730">
        <v>0</v>
      </c>
      <c r="L49" s="722">
        <v>0</v>
      </c>
      <c r="M49" s="593"/>
      <c r="N49" s="593"/>
      <c r="O49" s="593"/>
      <c r="P49" s="593"/>
      <c r="Q49" s="593"/>
      <c r="R49" s="593"/>
      <c r="S49" s="593"/>
      <c r="T49" s="593"/>
      <c r="U49" s="593"/>
      <c r="V49" s="593"/>
      <c r="W49" s="593"/>
      <c r="X49" s="593"/>
      <c r="Y49" s="593"/>
      <c r="Z49" s="593"/>
      <c r="AA49" s="593"/>
      <c r="AB49" s="593"/>
      <c r="AC49" s="593"/>
      <c r="AD49" s="593"/>
      <c r="AE49" s="593"/>
      <c r="AF49" s="593"/>
      <c r="AG49" s="593"/>
      <c r="AH49" s="593"/>
      <c r="AI49" s="593"/>
      <c r="AJ49" s="593"/>
      <c r="AK49" s="593"/>
      <c r="AL49" s="593"/>
      <c r="AM49" s="593"/>
      <c r="AN49" s="593"/>
      <c r="AO49" s="593"/>
      <c r="AP49" s="593"/>
      <c r="AQ49" s="593"/>
      <c r="AR49" s="593"/>
      <c r="AS49" s="593"/>
      <c r="AT49" s="593"/>
      <c r="AU49" s="593"/>
      <c r="AV49" s="593"/>
      <c r="AW49" s="593"/>
      <c r="AX49" s="593"/>
      <c r="AY49" s="593"/>
      <c r="AZ49" s="593"/>
      <c r="BA49" s="593"/>
      <c r="BB49" s="593"/>
      <c r="BC49" s="593"/>
      <c r="BD49" s="593"/>
      <c r="BE49" s="593"/>
      <c r="BF49" s="593"/>
      <c r="BG49" s="593"/>
      <c r="BH49" s="593"/>
      <c r="BI49" s="593"/>
      <c r="BJ49" s="593"/>
      <c r="BK49" s="593"/>
      <c r="BL49" s="593"/>
      <c r="BM49" s="593"/>
      <c r="BN49" s="593"/>
      <c r="BO49" s="593"/>
      <c r="BP49" s="593"/>
      <c r="BQ49" s="593"/>
    </row>
    <row r="50" spans="1:69" s="612" customFormat="1" ht="50.25" customHeight="1">
      <c r="A50" s="753" t="s">
        <v>329</v>
      </c>
      <c r="B50" s="835" t="s">
        <v>478</v>
      </c>
      <c r="C50" s="194" t="s">
        <v>62</v>
      </c>
      <c r="D50" s="829" t="s">
        <v>543</v>
      </c>
      <c r="E50" s="757">
        <f t="shared" si="0"/>
        <v>0</v>
      </c>
      <c r="F50" s="757">
        <v>0</v>
      </c>
      <c r="G50" s="843">
        <v>0</v>
      </c>
      <c r="H50" s="757">
        <v>0</v>
      </c>
      <c r="I50" s="757">
        <f t="shared" si="3"/>
        <v>217.7</v>
      </c>
      <c r="J50" s="757">
        <v>0</v>
      </c>
      <c r="K50" s="745">
        <v>0</v>
      </c>
      <c r="L50" s="757">
        <v>217.7</v>
      </c>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611"/>
      <c r="BG50" s="611"/>
      <c r="BH50" s="611"/>
      <c r="BI50" s="611"/>
      <c r="BJ50" s="611"/>
      <c r="BK50" s="611"/>
      <c r="BL50" s="611"/>
      <c r="BM50" s="611"/>
      <c r="BN50" s="611"/>
      <c r="BO50" s="611"/>
      <c r="BP50" s="611"/>
      <c r="BQ50" s="611"/>
    </row>
    <row r="51" spans="1:69" s="612" customFormat="1" ht="98.25" customHeight="1">
      <c r="A51" s="753" t="s">
        <v>333</v>
      </c>
      <c r="B51" s="442" t="s">
        <v>563</v>
      </c>
      <c r="C51" s="194" t="s">
        <v>62</v>
      </c>
      <c r="D51" s="829" t="s">
        <v>543</v>
      </c>
      <c r="E51" s="757">
        <f t="shared" ref="E51:E57" si="4">SUM(F51:H51)</f>
        <v>1179.22</v>
      </c>
      <c r="F51" s="757">
        <f>SUM(F52:F56)</f>
        <v>0</v>
      </c>
      <c r="G51" s="105">
        <f>G52+G53+G54+G55+G56</f>
        <v>1179.22</v>
      </c>
      <c r="H51" s="757">
        <f>SUM(H52:H56)</f>
        <v>0</v>
      </c>
      <c r="I51" s="757">
        <f t="shared" si="3"/>
        <v>1613.8440000000001</v>
      </c>
      <c r="J51" s="757">
        <f>SUM(J52:J56)</f>
        <v>0</v>
      </c>
      <c r="K51" s="105">
        <f>SUM(K52:K56)</f>
        <v>932.53399999999999</v>
      </c>
      <c r="L51" s="757">
        <f>SUM(L52:L56)</f>
        <v>681.31</v>
      </c>
      <c r="M51" s="649"/>
      <c r="N51" s="611"/>
      <c r="O51" s="611"/>
      <c r="P51" s="611"/>
      <c r="Q51" s="611"/>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611"/>
      <c r="BG51" s="611"/>
      <c r="BH51" s="611"/>
      <c r="BI51" s="611"/>
      <c r="BJ51" s="611"/>
      <c r="BK51" s="611"/>
      <c r="BL51" s="611"/>
      <c r="BM51" s="611"/>
      <c r="BN51" s="611"/>
      <c r="BO51" s="611"/>
      <c r="BP51" s="611"/>
      <c r="BQ51" s="611"/>
    </row>
    <row r="52" spans="1:69" s="594" customFormat="1">
      <c r="A52" s="753"/>
      <c r="B52" s="650" t="s">
        <v>632</v>
      </c>
      <c r="C52" s="725" t="s">
        <v>62</v>
      </c>
      <c r="D52" s="724" t="s">
        <v>543</v>
      </c>
      <c r="E52" s="722">
        <f t="shared" si="4"/>
        <v>26.3</v>
      </c>
      <c r="F52" s="722">
        <v>0</v>
      </c>
      <c r="G52" s="729">
        <v>26.3</v>
      </c>
      <c r="H52" s="722">
        <v>0</v>
      </c>
      <c r="I52" s="722">
        <f t="shared" si="3"/>
        <v>113.17</v>
      </c>
      <c r="J52" s="722">
        <v>0</v>
      </c>
      <c r="K52" s="730">
        <v>26.27</v>
      </c>
      <c r="L52" s="722">
        <v>86.9</v>
      </c>
      <c r="M52" s="651"/>
      <c r="N52" s="593"/>
      <c r="O52" s="593"/>
      <c r="P52" s="593"/>
      <c r="Q52" s="593"/>
      <c r="R52" s="593"/>
      <c r="S52" s="593"/>
      <c r="T52" s="593"/>
      <c r="U52" s="593"/>
      <c r="V52" s="593"/>
      <c r="W52" s="593"/>
      <c r="X52" s="593"/>
      <c r="Y52" s="593"/>
      <c r="Z52" s="593"/>
      <c r="AA52" s="593"/>
      <c r="AB52" s="593"/>
      <c r="AC52" s="593"/>
      <c r="AD52" s="593"/>
      <c r="AE52" s="593"/>
      <c r="AF52" s="593"/>
      <c r="AG52" s="593"/>
      <c r="AH52" s="593"/>
      <c r="AI52" s="593"/>
      <c r="AJ52" s="593"/>
      <c r="AK52" s="593"/>
      <c r="AL52" s="593"/>
      <c r="AM52" s="593"/>
      <c r="AN52" s="593"/>
      <c r="AO52" s="593"/>
      <c r="AP52" s="593"/>
      <c r="AQ52" s="593"/>
      <c r="AR52" s="593"/>
      <c r="AS52" s="593"/>
      <c r="AT52" s="593"/>
      <c r="AU52" s="593"/>
      <c r="AV52" s="593"/>
      <c r="AW52" s="593"/>
      <c r="AX52" s="593"/>
      <c r="AY52" s="593"/>
      <c r="AZ52" s="593"/>
      <c r="BA52" s="593"/>
      <c r="BB52" s="593"/>
      <c r="BC52" s="593"/>
      <c r="BD52" s="593"/>
      <c r="BE52" s="593"/>
      <c r="BF52" s="593"/>
      <c r="BG52" s="593"/>
      <c r="BH52" s="593"/>
      <c r="BI52" s="593"/>
      <c r="BJ52" s="593"/>
      <c r="BK52" s="593"/>
      <c r="BL52" s="593"/>
      <c r="BM52" s="593"/>
      <c r="BN52" s="593"/>
      <c r="BO52" s="593"/>
      <c r="BP52" s="593"/>
      <c r="BQ52" s="593"/>
    </row>
    <row r="53" spans="1:69" s="594" customFormat="1">
      <c r="A53" s="753"/>
      <c r="B53" s="650" t="s">
        <v>633</v>
      </c>
      <c r="C53" s="725" t="s">
        <v>62</v>
      </c>
      <c r="D53" s="724" t="s">
        <v>543</v>
      </c>
      <c r="E53" s="722">
        <f t="shared" si="4"/>
        <v>13.13</v>
      </c>
      <c r="F53" s="722">
        <v>0</v>
      </c>
      <c r="G53" s="729">
        <v>13.13</v>
      </c>
      <c r="H53" s="722">
        <v>0</v>
      </c>
      <c r="I53" s="722">
        <f t="shared" si="3"/>
        <v>76.067999999999998</v>
      </c>
      <c r="J53" s="722">
        <v>0</v>
      </c>
      <c r="K53" s="730">
        <v>13.128</v>
      </c>
      <c r="L53" s="722">
        <v>62.94</v>
      </c>
      <c r="M53" s="651"/>
      <c r="N53" s="593"/>
      <c r="O53" s="593"/>
      <c r="P53" s="593"/>
      <c r="Q53" s="593"/>
      <c r="R53" s="593"/>
      <c r="S53" s="593"/>
      <c r="T53" s="593"/>
      <c r="U53" s="593"/>
      <c r="V53" s="593"/>
      <c r="W53" s="593"/>
      <c r="X53" s="593"/>
      <c r="Y53" s="593"/>
      <c r="Z53" s="593"/>
      <c r="AA53" s="593"/>
      <c r="AB53" s="593"/>
      <c r="AC53" s="593"/>
      <c r="AD53" s="593"/>
      <c r="AE53" s="593"/>
      <c r="AF53" s="593"/>
      <c r="AG53" s="593"/>
      <c r="AH53" s="593"/>
      <c r="AI53" s="593"/>
      <c r="AJ53" s="593"/>
      <c r="AK53" s="593"/>
      <c r="AL53" s="593"/>
      <c r="AM53" s="593"/>
      <c r="AN53" s="593"/>
      <c r="AO53" s="593"/>
      <c r="AP53" s="593"/>
      <c r="AQ53" s="593"/>
      <c r="AR53" s="593"/>
      <c r="AS53" s="593"/>
      <c r="AT53" s="593"/>
      <c r="AU53" s="593"/>
      <c r="AV53" s="593"/>
      <c r="AW53" s="593"/>
      <c r="AX53" s="593"/>
      <c r="AY53" s="593"/>
      <c r="AZ53" s="593"/>
      <c r="BA53" s="593"/>
      <c r="BB53" s="593"/>
      <c r="BC53" s="593"/>
      <c r="BD53" s="593"/>
      <c r="BE53" s="593"/>
      <c r="BF53" s="593"/>
      <c r="BG53" s="593"/>
      <c r="BH53" s="593"/>
      <c r="BI53" s="593"/>
      <c r="BJ53" s="593"/>
      <c r="BK53" s="593"/>
      <c r="BL53" s="593"/>
      <c r="BM53" s="593"/>
      <c r="BN53" s="593"/>
      <c r="BO53" s="593"/>
      <c r="BP53" s="593"/>
      <c r="BQ53" s="593"/>
    </row>
    <row r="54" spans="1:69" s="594" customFormat="1">
      <c r="A54" s="753"/>
      <c r="B54" s="650" t="s">
        <v>634</v>
      </c>
      <c r="C54" s="725" t="s">
        <v>62</v>
      </c>
      <c r="D54" s="724" t="s">
        <v>543</v>
      </c>
      <c r="E54" s="722">
        <f t="shared" si="4"/>
        <v>233.58</v>
      </c>
      <c r="F54" s="722">
        <v>0</v>
      </c>
      <c r="G54" s="732">
        <v>233.58</v>
      </c>
      <c r="H54" s="722">
        <v>0</v>
      </c>
      <c r="I54" s="722">
        <f t="shared" si="3"/>
        <v>63.3</v>
      </c>
      <c r="J54" s="722">
        <v>0</v>
      </c>
      <c r="K54" s="730">
        <v>0</v>
      </c>
      <c r="L54" s="722">
        <v>63.3</v>
      </c>
      <c r="M54" s="651"/>
      <c r="N54" s="593"/>
      <c r="O54" s="593"/>
      <c r="P54" s="593"/>
      <c r="Q54" s="593"/>
      <c r="R54" s="593"/>
      <c r="S54" s="593"/>
      <c r="T54" s="593"/>
      <c r="U54" s="593"/>
      <c r="V54" s="593"/>
      <c r="W54" s="593"/>
      <c r="X54" s="593"/>
      <c r="Y54" s="593"/>
      <c r="Z54" s="593"/>
      <c r="AA54" s="593"/>
      <c r="AB54" s="593"/>
      <c r="AC54" s="593"/>
      <c r="AD54" s="593"/>
      <c r="AE54" s="593"/>
      <c r="AF54" s="593"/>
      <c r="AG54" s="593"/>
      <c r="AH54" s="593"/>
      <c r="AI54" s="593"/>
      <c r="AJ54" s="593"/>
      <c r="AK54" s="593"/>
      <c r="AL54" s="593"/>
      <c r="AM54" s="593"/>
      <c r="AN54" s="593"/>
      <c r="AO54" s="593"/>
      <c r="AP54" s="593"/>
      <c r="AQ54" s="593"/>
      <c r="AR54" s="593"/>
      <c r="AS54" s="593"/>
      <c r="AT54" s="593"/>
      <c r="AU54" s="593"/>
      <c r="AV54" s="593"/>
      <c r="AW54" s="593"/>
      <c r="AX54" s="593"/>
      <c r="AY54" s="593"/>
      <c r="AZ54" s="593"/>
      <c r="BA54" s="593"/>
      <c r="BB54" s="593"/>
      <c r="BC54" s="593"/>
      <c r="BD54" s="593"/>
      <c r="BE54" s="593"/>
      <c r="BF54" s="593"/>
      <c r="BG54" s="593"/>
      <c r="BH54" s="593"/>
      <c r="BI54" s="593"/>
      <c r="BJ54" s="593"/>
      <c r="BK54" s="593"/>
      <c r="BL54" s="593"/>
      <c r="BM54" s="593"/>
      <c r="BN54" s="593"/>
      <c r="BO54" s="593"/>
      <c r="BP54" s="593"/>
      <c r="BQ54" s="593"/>
    </row>
    <row r="55" spans="1:69" s="621" customFormat="1" ht="24">
      <c r="A55" s="613"/>
      <c r="B55" s="650" t="s">
        <v>635</v>
      </c>
      <c r="C55" s="725" t="s">
        <v>62</v>
      </c>
      <c r="D55" s="724" t="s">
        <v>543</v>
      </c>
      <c r="E55" s="722">
        <f t="shared" si="4"/>
        <v>814.73</v>
      </c>
      <c r="F55" s="722">
        <v>0</v>
      </c>
      <c r="G55" s="732">
        <v>814.73</v>
      </c>
      <c r="H55" s="722">
        <v>0</v>
      </c>
      <c r="I55" s="722">
        <f t="shared" si="3"/>
        <v>801.66</v>
      </c>
      <c r="J55" s="722">
        <v>0</v>
      </c>
      <c r="K55" s="730">
        <v>801.66</v>
      </c>
      <c r="L55" s="722">
        <v>0</v>
      </c>
      <c r="M55" s="651"/>
      <c r="N55" s="620"/>
      <c r="O55" s="620"/>
      <c r="P55" s="620"/>
      <c r="Q55" s="620"/>
      <c r="R55" s="620"/>
      <c r="S55" s="620"/>
      <c r="T55" s="620"/>
      <c r="U55" s="620"/>
      <c r="V55" s="620"/>
      <c r="W55" s="620"/>
      <c r="X55" s="620"/>
      <c r="Y55" s="620"/>
      <c r="Z55" s="620"/>
      <c r="AA55" s="620"/>
      <c r="AB55" s="620"/>
      <c r="AC55" s="620"/>
      <c r="AD55" s="620"/>
      <c r="AE55" s="620"/>
      <c r="AF55" s="620"/>
      <c r="AG55" s="620"/>
      <c r="AH55" s="620"/>
      <c r="AI55" s="620"/>
      <c r="AJ55" s="620"/>
      <c r="AK55" s="620"/>
      <c r="AL55" s="620"/>
      <c r="AM55" s="620"/>
      <c r="AN55" s="620"/>
      <c r="AO55" s="620"/>
      <c r="AP55" s="620"/>
      <c r="AQ55" s="620"/>
      <c r="AR55" s="620"/>
      <c r="AS55" s="620"/>
      <c r="AT55" s="620"/>
      <c r="AU55" s="620"/>
      <c r="AV55" s="620"/>
      <c r="AW55" s="620"/>
      <c r="AX55" s="620"/>
      <c r="AY55" s="620"/>
      <c r="AZ55" s="620"/>
      <c r="BA55" s="620"/>
      <c r="BB55" s="620"/>
      <c r="BC55" s="620"/>
      <c r="BD55" s="620"/>
      <c r="BE55" s="620"/>
      <c r="BF55" s="620"/>
      <c r="BG55" s="620"/>
      <c r="BH55" s="620"/>
      <c r="BI55" s="620"/>
      <c r="BJ55" s="620"/>
      <c r="BK55" s="620"/>
      <c r="BL55" s="620"/>
      <c r="BM55" s="620"/>
      <c r="BN55" s="620"/>
      <c r="BO55" s="620"/>
      <c r="BP55" s="620"/>
      <c r="BQ55" s="620"/>
    </row>
    <row r="56" spans="1:69" s="621" customFormat="1" ht="24">
      <c r="A56" s="613"/>
      <c r="B56" s="650" t="s">
        <v>636</v>
      </c>
      <c r="C56" s="725" t="s">
        <v>62</v>
      </c>
      <c r="D56" s="724" t="s">
        <v>543</v>
      </c>
      <c r="E56" s="722">
        <f t="shared" si="4"/>
        <v>91.48</v>
      </c>
      <c r="F56" s="722">
        <v>0</v>
      </c>
      <c r="G56" s="732">
        <v>91.48</v>
      </c>
      <c r="H56" s="722">
        <v>0</v>
      </c>
      <c r="I56" s="722">
        <f t="shared" si="3"/>
        <v>559.64599999999996</v>
      </c>
      <c r="J56" s="722">
        <v>0</v>
      </c>
      <c r="K56" s="730">
        <v>91.475999999999999</v>
      </c>
      <c r="L56" s="722">
        <v>468.17</v>
      </c>
      <c r="M56" s="651"/>
      <c r="N56" s="620"/>
      <c r="O56" s="620"/>
      <c r="P56" s="620"/>
      <c r="Q56" s="620"/>
      <c r="R56" s="620"/>
      <c r="S56" s="620"/>
      <c r="T56" s="620"/>
      <c r="U56" s="620"/>
      <c r="V56" s="620"/>
      <c r="W56" s="620"/>
      <c r="X56" s="620"/>
      <c r="Y56" s="620"/>
      <c r="Z56" s="620"/>
      <c r="AA56" s="620"/>
      <c r="AB56" s="620"/>
      <c r="AC56" s="620"/>
      <c r="AD56" s="620"/>
      <c r="AE56" s="620"/>
      <c r="AF56" s="620"/>
      <c r="AG56" s="620"/>
      <c r="AH56" s="620"/>
      <c r="AI56" s="620"/>
      <c r="AJ56" s="620"/>
      <c r="AK56" s="620"/>
      <c r="AL56" s="620"/>
      <c r="AM56" s="620"/>
      <c r="AN56" s="620"/>
      <c r="AO56" s="620"/>
      <c r="AP56" s="620"/>
      <c r="AQ56" s="620"/>
      <c r="AR56" s="620"/>
      <c r="AS56" s="620"/>
      <c r="AT56" s="620"/>
      <c r="AU56" s="620"/>
      <c r="AV56" s="620"/>
      <c r="AW56" s="620"/>
      <c r="AX56" s="620"/>
      <c r="AY56" s="620"/>
      <c r="AZ56" s="620"/>
      <c r="BA56" s="620"/>
      <c r="BB56" s="620"/>
      <c r="BC56" s="620"/>
      <c r="BD56" s="620"/>
      <c r="BE56" s="620"/>
      <c r="BF56" s="620"/>
      <c r="BG56" s="620"/>
      <c r="BH56" s="620"/>
      <c r="BI56" s="620"/>
      <c r="BJ56" s="620"/>
      <c r="BK56" s="620"/>
      <c r="BL56" s="620"/>
      <c r="BM56" s="620"/>
      <c r="BN56" s="620"/>
      <c r="BO56" s="620"/>
      <c r="BP56" s="620"/>
      <c r="BQ56" s="620"/>
    </row>
    <row r="57" spans="1:69" s="612" customFormat="1" ht="48" customHeight="1">
      <c r="A57" s="753" t="s">
        <v>339</v>
      </c>
      <c r="B57" s="442" t="s">
        <v>604</v>
      </c>
      <c r="C57" s="194" t="s">
        <v>62</v>
      </c>
      <c r="D57" s="194" t="s">
        <v>543</v>
      </c>
      <c r="E57" s="757">
        <f t="shared" si="4"/>
        <v>3945.4290000000001</v>
      </c>
      <c r="F57" s="757">
        <f>SUM(F58:F62)</f>
        <v>0</v>
      </c>
      <c r="G57" s="105">
        <f>SUM(G58:G62)</f>
        <v>3945.4290000000001</v>
      </c>
      <c r="H57" s="757">
        <f>SUM(H58:H62)</f>
        <v>0</v>
      </c>
      <c r="I57" s="757">
        <f t="shared" si="3"/>
        <v>1793.4250000000002</v>
      </c>
      <c r="J57" s="757">
        <f>SUM(J58:J62)</f>
        <v>0</v>
      </c>
      <c r="K57" s="105">
        <f>SUM(K58:K62)</f>
        <v>1620.2850000000001</v>
      </c>
      <c r="L57" s="757">
        <f>SUM(L58:L62)</f>
        <v>173.14</v>
      </c>
      <c r="M57" s="611"/>
      <c r="N57" s="611"/>
      <c r="O57" s="611"/>
      <c r="P57" s="611"/>
      <c r="Q57" s="611"/>
      <c r="R57" s="611"/>
      <c r="S57" s="611"/>
      <c r="T57" s="611"/>
      <c r="U57" s="611"/>
      <c r="V57" s="611"/>
      <c r="W57" s="611"/>
      <c r="X57" s="611"/>
      <c r="Y57" s="611"/>
      <c r="Z57" s="611"/>
      <c r="AA57" s="611"/>
      <c r="AB57" s="611"/>
      <c r="AC57" s="611"/>
      <c r="AD57" s="611"/>
      <c r="AE57" s="611"/>
      <c r="AF57" s="611"/>
      <c r="AG57" s="611"/>
      <c r="AH57" s="611"/>
      <c r="AI57" s="611"/>
      <c r="AJ57" s="611"/>
      <c r="AK57" s="611"/>
      <c r="AL57" s="611"/>
      <c r="AM57" s="611"/>
      <c r="AN57" s="611"/>
      <c r="AO57" s="611"/>
      <c r="AP57" s="611"/>
      <c r="AQ57" s="611"/>
      <c r="AR57" s="611"/>
      <c r="AS57" s="611"/>
      <c r="AT57" s="611"/>
      <c r="AU57" s="611"/>
      <c r="AV57" s="611"/>
      <c r="AW57" s="611"/>
      <c r="AX57" s="611"/>
      <c r="AY57" s="611"/>
      <c r="AZ57" s="611"/>
      <c r="BA57" s="611"/>
      <c r="BB57" s="611"/>
      <c r="BC57" s="611"/>
      <c r="BD57" s="611"/>
      <c r="BE57" s="611"/>
      <c r="BF57" s="611"/>
      <c r="BG57" s="611"/>
      <c r="BH57" s="611"/>
      <c r="BI57" s="611"/>
      <c r="BJ57" s="611"/>
      <c r="BK57" s="611"/>
      <c r="BL57" s="611"/>
      <c r="BM57" s="611"/>
      <c r="BN57" s="611"/>
      <c r="BO57" s="611"/>
      <c r="BP57" s="611"/>
      <c r="BQ57" s="611"/>
    </row>
    <row r="58" spans="1:69" s="621" customFormat="1" ht="16.5" customHeight="1">
      <c r="A58" s="613"/>
      <c r="B58" s="622" t="s">
        <v>637</v>
      </c>
      <c r="C58" s="725" t="s">
        <v>62</v>
      </c>
      <c r="D58" s="724" t="s">
        <v>543</v>
      </c>
      <c r="E58" s="721">
        <f t="shared" si="0"/>
        <v>0</v>
      </c>
      <c r="F58" s="721">
        <v>0</v>
      </c>
      <c r="G58" s="729">
        <v>0</v>
      </c>
      <c r="H58" s="721">
        <v>0</v>
      </c>
      <c r="I58" s="722">
        <f t="shared" si="3"/>
        <v>58.42</v>
      </c>
      <c r="J58" s="722">
        <v>0</v>
      </c>
      <c r="K58" s="730">
        <v>0</v>
      </c>
      <c r="L58" s="722">
        <v>58.42</v>
      </c>
      <c r="M58" s="620"/>
      <c r="N58" s="620"/>
      <c r="O58" s="620"/>
      <c r="P58" s="620"/>
      <c r="Q58" s="620"/>
      <c r="R58" s="620"/>
      <c r="S58" s="620"/>
      <c r="T58" s="620"/>
      <c r="U58" s="620"/>
      <c r="V58" s="620"/>
      <c r="W58" s="620"/>
      <c r="X58" s="620"/>
      <c r="Y58" s="620"/>
      <c r="Z58" s="620"/>
      <c r="AA58" s="620"/>
      <c r="AB58" s="620"/>
      <c r="AC58" s="620"/>
      <c r="AD58" s="620"/>
      <c r="AE58" s="620"/>
      <c r="AF58" s="620"/>
      <c r="AG58" s="620"/>
      <c r="AH58" s="620"/>
      <c r="AI58" s="620"/>
      <c r="AJ58" s="620"/>
      <c r="AK58" s="620"/>
      <c r="AL58" s="620"/>
      <c r="AM58" s="620"/>
      <c r="AN58" s="620"/>
      <c r="AO58" s="620"/>
      <c r="AP58" s="620"/>
      <c r="AQ58" s="620"/>
      <c r="AR58" s="620"/>
      <c r="AS58" s="620"/>
      <c r="AT58" s="620"/>
      <c r="AU58" s="620"/>
      <c r="AV58" s="620"/>
      <c r="AW58" s="620"/>
      <c r="AX58" s="620"/>
      <c r="AY58" s="620"/>
      <c r="AZ58" s="620"/>
      <c r="BA58" s="620"/>
      <c r="BB58" s="620"/>
      <c r="BC58" s="620"/>
      <c r="BD58" s="620"/>
      <c r="BE58" s="620"/>
      <c r="BF58" s="620"/>
      <c r="BG58" s="620"/>
      <c r="BH58" s="620"/>
      <c r="BI58" s="620"/>
      <c r="BJ58" s="620"/>
      <c r="BK58" s="620"/>
      <c r="BL58" s="620"/>
      <c r="BM58" s="620"/>
      <c r="BN58" s="620"/>
      <c r="BO58" s="620"/>
      <c r="BP58" s="620"/>
      <c r="BQ58" s="620"/>
    </row>
    <row r="59" spans="1:69" s="621" customFormat="1" ht="12.75">
      <c r="A59" s="613"/>
      <c r="B59" s="646" t="s">
        <v>638</v>
      </c>
      <c r="C59" s="725" t="s">
        <v>62</v>
      </c>
      <c r="D59" s="724" t="s">
        <v>543</v>
      </c>
      <c r="E59" s="721">
        <f t="shared" si="0"/>
        <v>553.6</v>
      </c>
      <c r="F59" s="721">
        <v>0</v>
      </c>
      <c r="G59" s="729">
        <v>553.6</v>
      </c>
      <c r="H59" s="721">
        <v>0</v>
      </c>
      <c r="I59" s="722">
        <f t="shared" si="3"/>
        <v>0</v>
      </c>
      <c r="J59" s="722">
        <v>0</v>
      </c>
      <c r="K59" s="730">
        <v>0</v>
      </c>
      <c r="L59" s="722">
        <v>0</v>
      </c>
      <c r="M59" s="620"/>
      <c r="N59" s="620"/>
      <c r="O59" s="620"/>
      <c r="P59" s="620"/>
      <c r="Q59" s="620"/>
      <c r="R59" s="620"/>
      <c r="S59" s="620"/>
      <c r="T59" s="620"/>
      <c r="U59" s="620"/>
      <c r="V59" s="620"/>
      <c r="W59" s="620"/>
      <c r="X59" s="620"/>
      <c r="Y59" s="620"/>
      <c r="Z59" s="620"/>
      <c r="AA59" s="620"/>
      <c r="AB59" s="620"/>
      <c r="AC59" s="620"/>
      <c r="AD59" s="620"/>
      <c r="AE59" s="620"/>
      <c r="AF59" s="620"/>
      <c r="AG59" s="620"/>
      <c r="AH59" s="620"/>
      <c r="AI59" s="620"/>
      <c r="AJ59" s="620"/>
      <c r="AK59" s="620"/>
      <c r="AL59" s="620"/>
      <c r="AM59" s="620"/>
      <c r="AN59" s="620"/>
      <c r="AO59" s="620"/>
      <c r="AP59" s="620"/>
      <c r="AQ59" s="620"/>
      <c r="AR59" s="620"/>
      <c r="AS59" s="620"/>
      <c r="AT59" s="620"/>
      <c r="AU59" s="620"/>
      <c r="AV59" s="620"/>
      <c r="AW59" s="620"/>
      <c r="AX59" s="620"/>
      <c r="AY59" s="620"/>
      <c r="AZ59" s="620"/>
      <c r="BA59" s="620"/>
      <c r="BB59" s="620"/>
      <c r="BC59" s="620"/>
      <c r="BD59" s="620"/>
      <c r="BE59" s="620"/>
      <c r="BF59" s="620"/>
      <c r="BG59" s="620"/>
      <c r="BH59" s="620"/>
      <c r="BI59" s="620"/>
      <c r="BJ59" s="620"/>
      <c r="BK59" s="620"/>
      <c r="BL59" s="620"/>
      <c r="BM59" s="620"/>
      <c r="BN59" s="620"/>
      <c r="BO59" s="620"/>
      <c r="BP59" s="620"/>
      <c r="BQ59" s="620"/>
    </row>
    <row r="60" spans="1:69" s="621" customFormat="1" ht="12.75">
      <c r="A60" s="613"/>
      <c r="B60" s="646" t="s">
        <v>639</v>
      </c>
      <c r="C60" s="725" t="s">
        <v>62</v>
      </c>
      <c r="D60" s="724" t="s">
        <v>543</v>
      </c>
      <c r="E60" s="721">
        <f t="shared" si="0"/>
        <v>20.25</v>
      </c>
      <c r="F60" s="721">
        <v>0</v>
      </c>
      <c r="G60" s="732">
        <v>20.25</v>
      </c>
      <c r="H60" s="721">
        <v>0</v>
      </c>
      <c r="I60" s="722">
        <f t="shared" si="3"/>
        <v>0</v>
      </c>
      <c r="J60" s="722">
        <v>0</v>
      </c>
      <c r="K60" s="730">
        <v>0</v>
      </c>
      <c r="L60" s="722">
        <v>0</v>
      </c>
      <c r="M60" s="620"/>
      <c r="N60" s="620"/>
      <c r="O60" s="620"/>
      <c r="P60" s="620"/>
      <c r="Q60" s="620"/>
      <c r="R60" s="620"/>
      <c r="S60" s="620"/>
      <c r="T60" s="620"/>
      <c r="U60" s="620"/>
      <c r="V60" s="620"/>
      <c r="W60" s="620"/>
      <c r="X60" s="620"/>
      <c r="Y60" s="620"/>
      <c r="Z60" s="620"/>
      <c r="AA60" s="620"/>
      <c r="AB60" s="620"/>
      <c r="AC60" s="620"/>
      <c r="AD60" s="620"/>
      <c r="AE60" s="620"/>
      <c r="AF60" s="620"/>
      <c r="AG60" s="620"/>
      <c r="AH60" s="620"/>
      <c r="AI60" s="620"/>
      <c r="AJ60" s="620"/>
      <c r="AK60" s="620"/>
      <c r="AL60" s="620"/>
      <c r="AM60" s="620"/>
      <c r="AN60" s="620"/>
      <c r="AO60" s="620"/>
      <c r="AP60" s="620"/>
      <c r="AQ60" s="620"/>
      <c r="AR60" s="620"/>
      <c r="AS60" s="620"/>
      <c r="AT60" s="620"/>
      <c r="AU60" s="620"/>
      <c r="AV60" s="620"/>
      <c r="AW60" s="620"/>
      <c r="AX60" s="620"/>
      <c r="AY60" s="620"/>
      <c r="AZ60" s="620"/>
      <c r="BA60" s="620"/>
      <c r="BB60" s="620"/>
      <c r="BC60" s="620"/>
      <c r="BD60" s="620"/>
      <c r="BE60" s="620"/>
      <c r="BF60" s="620"/>
      <c r="BG60" s="620"/>
      <c r="BH60" s="620"/>
      <c r="BI60" s="620"/>
      <c r="BJ60" s="620"/>
      <c r="BK60" s="620"/>
      <c r="BL60" s="620"/>
      <c r="BM60" s="620"/>
      <c r="BN60" s="620"/>
      <c r="BO60" s="620"/>
      <c r="BP60" s="620"/>
      <c r="BQ60" s="620"/>
    </row>
    <row r="61" spans="1:69" s="594" customFormat="1">
      <c r="A61" s="753"/>
      <c r="B61" s="646" t="s">
        <v>640</v>
      </c>
      <c r="C61" s="725" t="s">
        <v>62</v>
      </c>
      <c r="D61" s="724" t="s">
        <v>543</v>
      </c>
      <c r="E61" s="721">
        <f t="shared" si="0"/>
        <v>67.2</v>
      </c>
      <c r="F61" s="721">
        <v>0</v>
      </c>
      <c r="G61" s="729">
        <v>67.2</v>
      </c>
      <c r="H61" s="721">
        <v>0</v>
      </c>
      <c r="I61" s="722">
        <f t="shared" si="3"/>
        <v>0</v>
      </c>
      <c r="J61" s="722">
        <v>0</v>
      </c>
      <c r="K61" s="730">
        <v>0</v>
      </c>
      <c r="L61" s="722">
        <v>0</v>
      </c>
      <c r="M61" s="593"/>
      <c r="N61" s="593"/>
      <c r="O61" s="593"/>
      <c r="P61" s="593"/>
      <c r="Q61" s="593"/>
      <c r="R61" s="593"/>
      <c r="S61" s="593"/>
      <c r="T61" s="593"/>
      <c r="U61" s="593"/>
      <c r="V61" s="593"/>
      <c r="W61" s="593"/>
      <c r="X61" s="593"/>
      <c r="Y61" s="593"/>
      <c r="Z61" s="593"/>
      <c r="AA61" s="593"/>
      <c r="AB61" s="593"/>
      <c r="AC61" s="593"/>
      <c r="AD61" s="593"/>
      <c r="AE61" s="593"/>
      <c r="AF61" s="593"/>
      <c r="AG61" s="593"/>
      <c r="AH61" s="593"/>
      <c r="AI61" s="593"/>
      <c r="AJ61" s="593"/>
      <c r="AK61" s="593"/>
      <c r="AL61" s="593"/>
      <c r="AM61" s="593"/>
      <c r="AN61" s="593"/>
      <c r="AO61" s="593"/>
      <c r="AP61" s="593"/>
      <c r="AQ61" s="593"/>
      <c r="AR61" s="593"/>
      <c r="AS61" s="593"/>
      <c r="AT61" s="593"/>
      <c r="AU61" s="593"/>
      <c r="AV61" s="593"/>
      <c r="AW61" s="593"/>
      <c r="AX61" s="593"/>
      <c r="AY61" s="593"/>
      <c r="AZ61" s="593"/>
      <c r="BA61" s="593"/>
      <c r="BB61" s="593"/>
      <c r="BC61" s="593"/>
      <c r="BD61" s="593"/>
      <c r="BE61" s="593"/>
      <c r="BF61" s="593"/>
      <c r="BG61" s="593"/>
      <c r="BH61" s="593"/>
      <c r="BI61" s="593"/>
      <c r="BJ61" s="593"/>
      <c r="BK61" s="593"/>
      <c r="BL61" s="593"/>
      <c r="BM61" s="593"/>
      <c r="BN61" s="593"/>
      <c r="BO61" s="593"/>
      <c r="BP61" s="593"/>
      <c r="BQ61" s="593"/>
    </row>
    <row r="62" spans="1:69" s="594" customFormat="1">
      <c r="A62" s="753"/>
      <c r="B62" s="646" t="s">
        <v>641</v>
      </c>
      <c r="C62" s="725" t="s">
        <v>62</v>
      </c>
      <c r="D62" s="724" t="s">
        <v>543</v>
      </c>
      <c r="E62" s="721">
        <f t="shared" si="0"/>
        <v>3304.3789999999999</v>
      </c>
      <c r="F62" s="721">
        <v>0</v>
      </c>
      <c r="G62" s="732">
        <v>3304.3789999999999</v>
      </c>
      <c r="H62" s="721">
        <v>0</v>
      </c>
      <c r="I62" s="722">
        <f t="shared" si="3"/>
        <v>1735.0050000000001</v>
      </c>
      <c r="J62" s="722">
        <v>0</v>
      </c>
      <c r="K62" s="730">
        <v>1620.2850000000001</v>
      </c>
      <c r="L62" s="722">
        <v>114.72</v>
      </c>
      <c r="M62" s="593"/>
      <c r="N62" s="593"/>
      <c r="O62" s="593"/>
      <c r="P62" s="593"/>
      <c r="Q62" s="593"/>
      <c r="R62" s="593"/>
      <c r="S62" s="593"/>
      <c r="T62" s="593"/>
      <c r="U62" s="593"/>
      <c r="V62" s="593"/>
      <c r="W62" s="593"/>
      <c r="X62" s="593"/>
      <c r="Y62" s="593"/>
      <c r="Z62" s="593"/>
      <c r="AA62" s="593"/>
      <c r="AB62" s="593"/>
      <c r="AC62" s="593"/>
      <c r="AD62" s="593"/>
      <c r="AE62" s="593"/>
      <c r="AF62" s="593"/>
      <c r="AG62" s="593"/>
      <c r="AH62" s="593"/>
      <c r="AI62" s="593"/>
      <c r="AJ62" s="593"/>
      <c r="AK62" s="593"/>
      <c r="AL62" s="593"/>
      <c r="AM62" s="593"/>
      <c r="AN62" s="593"/>
      <c r="AO62" s="593"/>
      <c r="AP62" s="593"/>
      <c r="AQ62" s="593"/>
      <c r="AR62" s="593"/>
      <c r="AS62" s="593"/>
      <c r="AT62" s="593"/>
      <c r="AU62" s="593"/>
      <c r="AV62" s="593"/>
      <c r="AW62" s="593"/>
      <c r="AX62" s="593"/>
      <c r="AY62" s="593"/>
      <c r="AZ62" s="593"/>
      <c r="BA62" s="593"/>
      <c r="BB62" s="593"/>
      <c r="BC62" s="593"/>
      <c r="BD62" s="593"/>
      <c r="BE62" s="593"/>
      <c r="BF62" s="593"/>
      <c r="BG62" s="593"/>
      <c r="BH62" s="593"/>
      <c r="BI62" s="593"/>
      <c r="BJ62" s="593"/>
      <c r="BK62" s="593"/>
      <c r="BL62" s="593"/>
      <c r="BM62" s="593"/>
      <c r="BN62" s="593"/>
      <c r="BO62" s="593"/>
      <c r="BP62" s="593"/>
      <c r="BQ62" s="593"/>
    </row>
    <row r="63" spans="1:69" s="612" customFormat="1" ht="114.75" customHeight="1">
      <c r="A63" s="753" t="s">
        <v>343</v>
      </c>
      <c r="B63" s="442" t="s">
        <v>495</v>
      </c>
      <c r="C63" s="194" t="s">
        <v>62</v>
      </c>
      <c r="D63" s="194" t="s">
        <v>543</v>
      </c>
      <c r="E63" s="757">
        <f t="shared" si="0"/>
        <v>237.5</v>
      </c>
      <c r="F63" s="757">
        <v>0</v>
      </c>
      <c r="G63" s="105">
        <v>0</v>
      </c>
      <c r="H63" s="844">
        <v>237.5</v>
      </c>
      <c r="I63" s="757">
        <f t="shared" si="3"/>
        <v>0</v>
      </c>
      <c r="J63" s="757">
        <v>0</v>
      </c>
      <c r="K63" s="745">
        <v>0</v>
      </c>
      <c r="L63" s="757">
        <v>0</v>
      </c>
      <c r="M63" s="611"/>
      <c r="N63" s="611"/>
      <c r="O63" s="611"/>
      <c r="P63" s="611"/>
      <c r="Q63" s="611"/>
      <c r="R63" s="611"/>
      <c r="S63" s="611"/>
      <c r="T63" s="611"/>
      <c r="U63" s="611"/>
      <c r="V63" s="611"/>
      <c r="W63" s="611"/>
      <c r="X63" s="611"/>
      <c r="Y63" s="611"/>
      <c r="Z63" s="611"/>
      <c r="AA63" s="611"/>
      <c r="AB63" s="611"/>
      <c r="AC63" s="611"/>
      <c r="AD63" s="611"/>
      <c r="AE63" s="611"/>
      <c r="AF63" s="611"/>
      <c r="AG63" s="611"/>
      <c r="AH63" s="611"/>
      <c r="AI63" s="611"/>
      <c r="AJ63" s="611"/>
      <c r="AK63" s="611"/>
      <c r="AL63" s="611"/>
      <c r="AM63" s="611"/>
      <c r="AN63" s="611"/>
      <c r="AO63" s="611"/>
      <c r="AP63" s="611"/>
      <c r="AQ63" s="611"/>
      <c r="AR63" s="611"/>
      <c r="AS63" s="611"/>
      <c r="AT63" s="611"/>
      <c r="AU63" s="611"/>
      <c r="AV63" s="611"/>
      <c r="AW63" s="611"/>
      <c r="AX63" s="611"/>
      <c r="AY63" s="611"/>
      <c r="AZ63" s="611"/>
      <c r="BA63" s="611"/>
      <c r="BB63" s="611"/>
      <c r="BC63" s="611"/>
      <c r="BD63" s="611"/>
      <c r="BE63" s="611"/>
      <c r="BF63" s="611"/>
      <c r="BG63" s="611"/>
      <c r="BH63" s="611"/>
      <c r="BI63" s="611"/>
      <c r="BJ63" s="611"/>
      <c r="BK63" s="611"/>
      <c r="BL63" s="611"/>
      <c r="BM63" s="611"/>
      <c r="BN63" s="611"/>
      <c r="BO63" s="611"/>
      <c r="BP63" s="611"/>
      <c r="BQ63" s="611"/>
    </row>
    <row r="64" spans="1:69" s="605" customFormat="1" ht="36.75" customHeight="1">
      <c r="A64" s="751" t="s">
        <v>132</v>
      </c>
      <c r="B64" s="822" t="s">
        <v>131</v>
      </c>
      <c r="C64" s="823"/>
      <c r="D64" s="823"/>
      <c r="E64" s="824">
        <f t="shared" si="0"/>
        <v>195994.41999999998</v>
      </c>
      <c r="F64" s="824">
        <f>SUM(F65+F69+F72+F73)</f>
        <v>66489.42</v>
      </c>
      <c r="G64" s="827">
        <f>SUM(G65+G69+G72+G73)</f>
        <v>300</v>
      </c>
      <c r="H64" s="824">
        <f>SUM(H65+H69+H72+H73)</f>
        <v>129205</v>
      </c>
      <c r="I64" s="824">
        <f t="shared" si="3"/>
        <v>43898.039999999994</v>
      </c>
      <c r="J64" s="824">
        <f>J65+J69+J72+J73</f>
        <v>26648.94</v>
      </c>
      <c r="K64" s="827">
        <f>K65+K69+K72+K73</f>
        <v>0</v>
      </c>
      <c r="L64" s="824">
        <f>L65+L69+L72+L73</f>
        <v>17249.099999999999</v>
      </c>
      <c r="M64" s="603"/>
      <c r="N64" s="604"/>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603"/>
      <c r="AM64" s="603"/>
      <c r="AN64" s="603"/>
      <c r="AO64" s="603"/>
      <c r="AP64" s="603"/>
      <c r="AQ64" s="603"/>
      <c r="AR64" s="603"/>
      <c r="AS64" s="603"/>
      <c r="AT64" s="603"/>
      <c r="AU64" s="603"/>
      <c r="AV64" s="603"/>
      <c r="AW64" s="603"/>
      <c r="AX64" s="603"/>
      <c r="AY64" s="603"/>
      <c r="AZ64" s="603"/>
      <c r="BA64" s="603"/>
      <c r="BB64" s="603"/>
      <c r="BC64" s="603"/>
      <c r="BD64" s="603"/>
      <c r="BE64" s="603"/>
      <c r="BF64" s="603"/>
      <c r="BG64" s="603"/>
      <c r="BH64" s="603"/>
      <c r="BI64" s="603"/>
      <c r="BJ64" s="603"/>
      <c r="BK64" s="603"/>
      <c r="BL64" s="603"/>
      <c r="BM64" s="603"/>
      <c r="BN64" s="603"/>
      <c r="BO64" s="603"/>
      <c r="BP64" s="603"/>
      <c r="BQ64" s="603"/>
    </row>
    <row r="65" spans="1:69" s="612" customFormat="1" ht="50.25" customHeight="1">
      <c r="A65" s="753" t="s">
        <v>570</v>
      </c>
      <c r="B65" s="442" t="s">
        <v>571</v>
      </c>
      <c r="C65" s="194" t="s">
        <v>62</v>
      </c>
      <c r="D65" s="194" t="s">
        <v>543</v>
      </c>
      <c r="E65" s="757">
        <f t="shared" si="0"/>
        <v>188433.41999999998</v>
      </c>
      <c r="F65" s="757">
        <f>SUM(F66:F68)</f>
        <v>66489.42</v>
      </c>
      <c r="G65" s="105">
        <f>SUM(G66:G68)</f>
        <v>0</v>
      </c>
      <c r="H65" s="757">
        <f>SUM(H66:H68)</f>
        <v>121944</v>
      </c>
      <c r="I65" s="757">
        <f t="shared" si="3"/>
        <v>42576.46</v>
      </c>
      <c r="J65" s="105">
        <f>SUM(J66:J68)</f>
        <v>26648.94</v>
      </c>
      <c r="K65" s="105">
        <f>SUM(K66:K68)</f>
        <v>0</v>
      </c>
      <c r="L65" s="757">
        <f>SUM(L66:L68)</f>
        <v>15927.52</v>
      </c>
      <c r="M65" s="611"/>
      <c r="N65" s="634"/>
      <c r="O65" s="611"/>
      <c r="P65" s="611"/>
      <c r="Q65" s="611"/>
      <c r="R65" s="611"/>
      <c r="S65" s="611"/>
      <c r="T65" s="611"/>
      <c r="U65" s="611"/>
      <c r="V65" s="611"/>
      <c r="W65" s="611"/>
      <c r="X65" s="611"/>
      <c r="Y65" s="611"/>
      <c r="Z65" s="611"/>
      <c r="AA65" s="611"/>
      <c r="AB65" s="611"/>
      <c r="AC65" s="611"/>
      <c r="AD65" s="611"/>
      <c r="AE65" s="611"/>
      <c r="AF65" s="611"/>
      <c r="AG65" s="611"/>
      <c r="AH65" s="611"/>
      <c r="AI65" s="611"/>
      <c r="AJ65" s="611"/>
      <c r="AK65" s="611"/>
      <c r="AL65" s="611"/>
      <c r="AM65" s="611"/>
      <c r="AN65" s="611"/>
      <c r="AO65" s="611"/>
      <c r="AP65" s="611"/>
      <c r="AQ65" s="611"/>
      <c r="AR65" s="611"/>
      <c r="AS65" s="611"/>
      <c r="AT65" s="611"/>
      <c r="AU65" s="611"/>
      <c r="AV65" s="611"/>
      <c r="AW65" s="611"/>
      <c r="AX65" s="611"/>
      <c r="AY65" s="611"/>
      <c r="AZ65" s="611"/>
      <c r="BA65" s="611"/>
      <c r="BB65" s="611"/>
      <c r="BC65" s="611"/>
      <c r="BD65" s="611"/>
      <c r="BE65" s="611"/>
      <c r="BF65" s="611"/>
      <c r="BG65" s="611"/>
      <c r="BH65" s="611"/>
      <c r="BI65" s="611"/>
      <c r="BJ65" s="611"/>
      <c r="BK65" s="611"/>
      <c r="BL65" s="611"/>
      <c r="BM65" s="611"/>
      <c r="BN65" s="611"/>
      <c r="BO65" s="611"/>
      <c r="BP65" s="611"/>
      <c r="BQ65" s="611"/>
    </row>
    <row r="66" spans="1:69" s="659" customFormat="1" ht="55.5" customHeight="1">
      <c r="A66" s="653"/>
      <c r="B66" s="646" t="s">
        <v>642</v>
      </c>
      <c r="C66" s="725" t="s">
        <v>62</v>
      </c>
      <c r="D66" s="725" t="s">
        <v>543</v>
      </c>
      <c r="E66" s="727">
        <f t="shared" si="0"/>
        <v>188433.41999999998</v>
      </c>
      <c r="F66" s="727">
        <v>66489.42</v>
      </c>
      <c r="G66" s="734">
        <v>0</v>
      </c>
      <c r="H66" s="727">
        <v>121944</v>
      </c>
      <c r="I66" s="727">
        <f t="shared" si="3"/>
        <v>42576.46</v>
      </c>
      <c r="J66" s="727">
        <v>26648.94</v>
      </c>
      <c r="K66" s="759">
        <v>0</v>
      </c>
      <c r="L66" s="727">
        <v>15927.52</v>
      </c>
      <c r="M66" s="657"/>
      <c r="N66" s="658"/>
      <c r="O66" s="657"/>
      <c r="P66" s="657"/>
      <c r="Q66" s="657"/>
      <c r="R66" s="657"/>
      <c r="S66" s="657"/>
      <c r="T66" s="657"/>
      <c r="U66" s="657"/>
      <c r="V66" s="657"/>
      <c r="W66" s="657"/>
      <c r="X66" s="657"/>
      <c r="Y66" s="657"/>
      <c r="Z66" s="657"/>
      <c r="AA66" s="657"/>
      <c r="AB66" s="657"/>
      <c r="AC66" s="657"/>
      <c r="AD66" s="657"/>
      <c r="AE66" s="657"/>
      <c r="AF66" s="657"/>
      <c r="AG66" s="657"/>
      <c r="AH66" s="657"/>
      <c r="AI66" s="657"/>
      <c r="AJ66" s="657"/>
      <c r="AK66" s="657"/>
      <c r="AL66" s="657"/>
      <c r="AM66" s="657"/>
      <c r="AN66" s="657"/>
      <c r="AO66" s="657"/>
      <c r="AP66" s="657"/>
      <c r="AQ66" s="657"/>
      <c r="AR66" s="657"/>
      <c r="AS66" s="657"/>
      <c r="AT66" s="657"/>
      <c r="AU66" s="657"/>
      <c r="AV66" s="657"/>
      <c r="AW66" s="657"/>
      <c r="AX66" s="657"/>
      <c r="AY66" s="657"/>
      <c r="AZ66" s="657"/>
      <c r="BA66" s="657"/>
      <c r="BB66" s="657"/>
      <c r="BC66" s="657"/>
      <c r="BD66" s="657"/>
      <c r="BE66" s="657"/>
      <c r="BF66" s="657"/>
      <c r="BG66" s="657"/>
      <c r="BH66" s="657"/>
      <c r="BI66" s="657"/>
      <c r="BJ66" s="657"/>
      <c r="BK66" s="657"/>
      <c r="BL66" s="657"/>
      <c r="BM66" s="657"/>
      <c r="BN66" s="657"/>
      <c r="BO66" s="657"/>
      <c r="BP66" s="657"/>
      <c r="BQ66" s="657"/>
    </row>
    <row r="67" spans="1:69" s="659" customFormat="1" ht="39" customHeight="1">
      <c r="A67" s="653"/>
      <c r="B67" s="646" t="s">
        <v>643</v>
      </c>
      <c r="C67" s="725" t="s">
        <v>62</v>
      </c>
      <c r="D67" s="725" t="s">
        <v>543</v>
      </c>
      <c r="E67" s="727">
        <f t="shared" si="0"/>
        <v>0</v>
      </c>
      <c r="F67" s="727">
        <v>0</v>
      </c>
      <c r="G67" s="735">
        <v>0</v>
      </c>
      <c r="H67" s="727">
        <v>0</v>
      </c>
      <c r="I67" s="727">
        <f t="shared" si="3"/>
        <v>0</v>
      </c>
      <c r="J67" s="727">
        <v>0</v>
      </c>
      <c r="K67" s="759">
        <v>0</v>
      </c>
      <c r="L67" s="727">
        <v>0</v>
      </c>
      <c r="M67" s="657"/>
      <c r="N67" s="657"/>
      <c r="O67" s="657"/>
      <c r="P67" s="657"/>
      <c r="Q67" s="657"/>
      <c r="R67" s="657"/>
      <c r="S67" s="657"/>
      <c r="T67" s="657"/>
      <c r="U67" s="657"/>
      <c r="V67" s="657"/>
      <c r="W67" s="657"/>
      <c r="X67" s="657"/>
      <c r="Y67" s="657"/>
      <c r="Z67" s="657"/>
      <c r="AA67" s="657"/>
      <c r="AB67" s="657"/>
      <c r="AC67" s="657"/>
      <c r="AD67" s="657"/>
      <c r="AE67" s="657"/>
      <c r="AF67" s="657"/>
      <c r="AG67" s="657"/>
      <c r="AH67" s="657"/>
      <c r="AI67" s="657"/>
      <c r="AJ67" s="657"/>
      <c r="AK67" s="657"/>
      <c r="AL67" s="657"/>
      <c r="AM67" s="657"/>
      <c r="AN67" s="657"/>
      <c r="AO67" s="657"/>
      <c r="AP67" s="657"/>
      <c r="AQ67" s="657"/>
      <c r="AR67" s="657"/>
      <c r="AS67" s="657"/>
      <c r="AT67" s="657"/>
      <c r="AU67" s="657"/>
      <c r="AV67" s="657"/>
      <c r="AW67" s="657"/>
      <c r="AX67" s="657"/>
      <c r="AY67" s="657"/>
      <c r="AZ67" s="657"/>
      <c r="BA67" s="657"/>
      <c r="BB67" s="657"/>
      <c r="BC67" s="657"/>
      <c r="BD67" s="657"/>
      <c r="BE67" s="657"/>
      <c r="BF67" s="657"/>
      <c r="BG67" s="657"/>
      <c r="BH67" s="657"/>
      <c r="BI67" s="657"/>
      <c r="BJ67" s="657"/>
      <c r="BK67" s="657"/>
      <c r="BL67" s="657"/>
      <c r="BM67" s="657"/>
      <c r="BN67" s="657"/>
      <c r="BO67" s="657"/>
      <c r="BP67" s="657"/>
      <c r="BQ67" s="657"/>
    </row>
    <row r="68" spans="1:69" s="659" customFormat="1" ht="28.5" customHeight="1">
      <c r="A68" s="653"/>
      <c r="B68" s="646" t="s">
        <v>644</v>
      </c>
      <c r="C68" s="725" t="s">
        <v>62</v>
      </c>
      <c r="D68" s="725" t="s">
        <v>543</v>
      </c>
      <c r="E68" s="727">
        <f t="shared" si="0"/>
        <v>0</v>
      </c>
      <c r="F68" s="727">
        <v>0</v>
      </c>
      <c r="G68" s="735">
        <v>0</v>
      </c>
      <c r="H68" s="727">
        <v>0</v>
      </c>
      <c r="I68" s="727">
        <f t="shared" si="3"/>
        <v>0</v>
      </c>
      <c r="J68" s="727">
        <v>0</v>
      </c>
      <c r="K68" s="759">
        <v>0</v>
      </c>
      <c r="L68" s="727">
        <v>0</v>
      </c>
      <c r="M68" s="657"/>
      <c r="N68" s="657"/>
      <c r="O68" s="657"/>
      <c r="P68" s="657"/>
      <c r="Q68" s="657"/>
      <c r="R68" s="657"/>
      <c r="S68" s="657"/>
      <c r="T68" s="657"/>
      <c r="U68" s="657"/>
      <c r="V68" s="657"/>
      <c r="W68" s="657"/>
      <c r="X68" s="657"/>
      <c r="Y68" s="657"/>
      <c r="Z68" s="657"/>
      <c r="AA68" s="657"/>
      <c r="AB68" s="657"/>
      <c r="AC68" s="657"/>
      <c r="AD68" s="657"/>
      <c r="AE68" s="657"/>
      <c r="AF68" s="657"/>
      <c r="AG68" s="657"/>
      <c r="AH68" s="657"/>
      <c r="AI68" s="657"/>
      <c r="AJ68" s="657"/>
      <c r="AK68" s="657"/>
      <c r="AL68" s="657"/>
      <c r="AM68" s="657"/>
      <c r="AN68" s="657"/>
      <c r="AO68" s="657"/>
      <c r="AP68" s="657"/>
      <c r="AQ68" s="657"/>
      <c r="AR68" s="657"/>
      <c r="AS68" s="657"/>
      <c r="AT68" s="657"/>
      <c r="AU68" s="657"/>
      <c r="AV68" s="657"/>
      <c r="AW68" s="657"/>
      <c r="AX68" s="657"/>
      <c r="AY68" s="657"/>
      <c r="AZ68" s="657"/>
      <c r="BA68" s="657"/>
      <c r="BB68" s="657"/>
      <c r="BC68" s="657"/>
      <c r="BD68" s="657"/>
      <c r="BE68" s="657"/>
      <c r="BF68" s="657"/>
      <c r="BG68" s="657"/>
      <c r="BH68" s="657"/>
      <c r="BI68" s="657"/>
      <c r="BJ68" s="657"/>
      <c r="BK68" s="657"/>
      <c r="BL68" s="657"/>
      <c r="BM68" s="657"/>
      <c r="BN68" s="657"/>
      <c r="BO68" s="657"/>
      <c r="BP68" s="657"/>
      <c r="BQ68" s="657"/>
    </row>
    <row r="69" spans="1:69" s="612" customFormat="1" ht="52.5" customHeight="1">
      <c r="A69" s="753" t="s">
        <v>586</v>
      </c>
      <c r="B69" s="442" t="s">
        <v>587</v>
      </c>
      <c r="C69" s="194" t="s">
        <v>62</v>
      </c>
      <c r="D69" s="194" t="s">
        <v>550</v>
      </c>
      <c r="E69" s="757">
        <f>SUM(F69:H69)</f>
        <v>300</v>
      </c>
      <c r="F69" s="757">
        <f>SUM(F70:F71)</f>
        <v>0</v>
      </c>
      <c r="G69" s="105">
        <f>SUM(G70:G71)</f>
        <v>300</v>
      </c>
      <c r="H69" s="757">
        <f>SUM(H70:H71)</f>
        <v>0</v>
      </c>
      <c r="I69" s="757">
        <f t="shared" si="3"/>
        <v>0</v>
      </c>
      <c r="J69" s="757">
        <f>SUM(J70:J71)</f>
        <v>0</v>
      </c>
      <c r="K69" s="105">
        <f>SUM(K70:K71)</f>
        <v>0</v>
      </c>
      <c r="L69" s="757">
        <f>SUM(L70:L71)</f>
        <v>0</v>
      </c>
      <c r="M69" s="611"/>
      <c r="N69" s="611"/>
      <c r="O69" s="611"/>
      <c r="P69" s="611"/>
      <c r="Q69" s="611"/>
      <c r="R69" s="611"/>
      <c r="S69" s="611"/>
      <c r="T69" s="611"/>
      <c r="U69" s="611"/>
      <c r="V69" s="611"/>
      <c r="W69" s="611"/>
      <c r="X69" s="611"/>
      <c r="Y69" s="611"/>
      <c r="Z69" s="611"/>
      <c r="AA69" s="611"/>
      <c r="AB69" s="611"/>
      <c r="AC69" s="611"/>
      <c r="AD69" s="611"/>
      <c r="AE69" s="611"/>
      <c r="AF69" s="611"/>
      <c r="AG69" s="611"/>
      <c r="AH69" s="611"/>
      <c r="AI69" s="611"/>
      <c r="AJ69" s="611"/>
      <c r="AK69" s="611"/>
      <c r="AL69" s="611"/>
      <c r="AM69" s="611"/>
      <c r="AN69" s="611"/>
      <c r="AO69" s="611"/>
      <c r="AP69" s="611"/>
      <c r="AQ69" s="611"/>
      <c r="AR69" s="611"/>
      <c r="AS69" s="611"/>
      <c r="AT69" s="611"/>
      <c r="AU69" s="611"/>
      <c r="AV69" s="611"/>
      <c r="AW69" s="611"/>
      <c r="AX69" s="611"/>
      <c r="AY69" s="611"/>
      <c r="AZ69" s="611"/>
      <c r="BA69" s="611"/>
      <c r="BB69" s="611"/>
      <c r="BC69" s="611"/>
      <c r="BD69" s="611"/>
      <c r="BE69" s="611"/>
      <c r="BF69" s="611"/>
      <c r="BG69" s="611"/>
      <c r="BH69" s="611"/>
      <c r="BI69" s="611"/>
      <c r="BJ69" s="611"/>
      <c r="BK69" s="611"/>
      <c r="BL69" s="611"/>
      <c r="BM69" s="611"/>
      <c r="BN69" s="611"/>
      <c r="BO69" s="611"/>
      <c r="BP69" s="611"/>
      <c r="BQ69" s="611"/>
    </row>
    <row r="70" spans="1:69" s="659" customFormat="1" ht="20.25" customHeight="1">
      <c r="A70" s="653"/>
      <c r="B70" s="646" t="s">
        <v>645</v>
      </c>
      <c r="C70" s="725" t="s">
        <v>62</v>
      </c>
      <c r="D70" s="725" t="s">
        <v>550</v>
      </c>
      <c r="E70" s="727">
        <f>SUM(F70:H70)</f>
        <v>0</v>
      </c>
      <c r="F70" s="727">
        <v>0</v>
      </c>
      <c r="G70" s="735">
        <v>0</v>
      </c>
      <c r="H70" s="727">
        <v>0</v>
      </c>
      <c r="I70" s="727">
        <f t="shared" si="3"/>
        <v>0</v>
      </c>
      <c r="J70" s="727">
        <v>0</v>
      </c>
      <c r="K70" s="759">
        <v>0</v>
      </c>
      <c r="L70" s="727">
        <v>0</v>
      </c>
      <c r="M70" s="657"/>
      <c r="N70" s="657"/>
      <c r="O70" s="657"/>
      <c r="P70" s="657"/>
      <c r="Q70" s="657"/>
      <c r="R70" s="657"/>
      <c r="S70" s="657"/>
      <c r="T70" s="657"/>
      <c r="U70" s="657"/>
      <c r="V70" s="657"/>
      <c r="W70" s="657"/>
      <c r="X70" s="657"/>
      <c r="Y70" s="657"/>
      <c r="Z70" s="657"/>
      <c r="AA70" s="657"/>
      <c r="AB70" s="657"/>
      <c r="AC70" s="657"/>
      <c r="AD70" s="657"/>
      <c r="AE70" s="657"/>
      <c r="AF70" s="657"/>
      <c r="AG70" s="657"/>
      <c r="AH70" s="657"/>
      <c r="AI70" s="657"/>
      <c r="AJ70" s="657"/>
      <c r="AK70" s="657"/>
      <c r="AL70" s="657"/>
      <c r="AM70" s="657"/>
      <c r="AN70" s="657"/>
      <c r="AO70" s="657"/>
      <c r="AP70" s="657"/>
      <c r="AQ70" s="657"/>
      <c r="AR70" s="657"/>
      <c r="AS70" s="657"/>
      <c r="AT70" s="657"/>
      <c r="AU70" s="657"/>
      <c r="AV70" s="657"/>
      <c r="AW70" s="657"/>
      <c r="AX70" s="657"/>
      <c r="AY70" s="657"/>
      <c r="AZ70" s="657"/>
      <c r="BA70" s="657"/>
      <c r="BB70" s="657"/>
      <c r="BC70" s="657"/>
      <c r="BD70" s="657"/>
      <c r="BE70" s="657"/>
      <c r="BF70" s="657"/>
      <c r="BG70" s="657"/>
      <c r="BH70" s="657"/>
      <c r="BI70" s="657"/>
      <c r="BJ70" s="657"/>
      <c r="BK70" s="657"/>
      <c r="BL70" s="657"/>
      <c r="BM70" s="657"/>
      <c r="BN70" s="657"/>
      <c r="BO70" s="657"/>
      <c r="BP70" s="657"/>
      <c r="BQ70" s="657"/>
    </row>
    <row r="71" spans="1:69" s="659" customFormat="1" ht="37.5" customHeight="1">
      <c r="A71" s="653"/>
      <c r="B71" s="646" t="s">
        <v>646</v>
      </c>
      <c r="C71" s="725" t="s">
        <v>62</v>
      </c>
      <c r="D71" s="725" t="s">
        <v>550</v>
      </c>
      <c r="E71" s="727">
        <f>SUM(F71:H71)</f>
        <v>300</v>
      </c>
      <c r="F71" s="727">
        <v>0</v>
      </c>
      <c r="G71" s="735">
        <v>300</v>
      </c>
      <c r="H71" s="727">
        <v>0</v>
      </c>
      <c r="I71" s="727">
        <f t="shared" si="3"/>
        <v>0</v>
      </c>
      <c r="J71" s="727">
        <v>0</v>
      </c>
      <c r="K71" s="759">
        <v>0</v>
      </c>
      <c r="L71" s="727">
        <v>0</v>
      </c>
      <c r="M71" s="657"/>
      <c r="N71" s="657"/>
      <c r="O71" s="657"/>
      <c r="P71" s="657"/>
      <c r="Q71" s="657"/>
      <c r="R71" s="657"/>
      <c r="S71" s="657"/>
      <c r="T71" s="657"/>
      <c r="U71" s="657"/>
      <c r="V71" s="657"/>
      <c r="W71" s="657"/>
      <c r="X71" s="657"/>
      <c r="Y71" s="657"/>
      <c r="Z71" s="657"/>
      <c r="AA71" s="657"/>
      <c r="AB71" s="657"/>
      <c r="AC71" s="657"/>
      <c r="AD71" s="657"/>
      <c r="AE71" s="657"/>
      <c r="AF71" s="657"/>
      <c r="AG71" s="657"/>
      <c r="AH71" s="657"/>
      <c r="AI71" s="657"/>
      <c r="AJ71" s="657"/>
      <c r="AK71" s="657"/>
      <c r="AL71" s="657"/>
      <c r="AM71" s="657"/>
      <c r="AN71" s="657"/>
      <c r="AO71" s="657"/>
      <c r="AP71" s="657"/>
      <c r="AQ71" s="657"/>
      <c r="AR71" s="657"/>
      <c r="AS71" s="657"/>
      <c r="AT71" s="657"/>
      <c r="AU71" s="657"/>
      <c r="AV71" s="657"/>
      <c r="AW71" s="657"/>
      <c r="AX71" s="657"/>
      <c r="AY71" s="657"/>
      <c r="AZ71" s="657"/>
      <c r="BA71" s="657"/>
      <c r="BB71" s="657"/>
      <c r="BC71" s="657"/>
      <c r="BD71" s="657"/>
      <c r="BE71" s="657"/>
      <c r="BF71" s="657"/>
      <c r="BG71" s="657"/>
      <c r="BH71" s="657"/>
      <c r="BI71" s="657"/>
      <c r="BJ71" s="657"/>
      <c r="BK71" s="657"/>
      <c r="BL71" s="657"/>
      <c r="BM71" s="657"/>
      <c r="BN71" s="657"/>
      <c r="BO71" s="657"/>
      <c r="BP71" s="657"/>
      <c r="BQ71" s="657"/>
    </row>
    <row r="72" spans="1:69" s="612" customFormat="1" ht="115.5" customHeight="1">
      <c r="A72" s="753" t="s">
        <v>367</v>
      </c>
      <c r="B72" s="442" t="s">
        <v>572</v>
      </c>
      <c r="C72" s="194" t="s">
        <v>62</v>
      </c>
      <c r="D72" s="194" t="s">
        <v>543</v>
      </c>
      <c r="E72" s="757">
        <f t="shared" si="0"/>
        <v>420</v>
      </c>
      <c r="F72" s="757">
        <v>0</v>
      </c>
      <c r="G72" s="105">
        <v>0</v>
      </c>
      <c r="H72" s="757">
        <v>420</v>
      </c>
      <c r="I72" s="757">
        <f t="shared" si="3"/>
        <v>0</v>
      </c>
      <c r="J72" s="757">
        <v>0</v>
      </c>
      <c r="K72" s="745">
        <v>0</v>
      </c>
      <c r="L72" s="757">
        <v>0</v>
      </c>
      <c r="M72" s="611"/>
      <c r="N72" s="611"/>
      <c r="O72" s="611"/>
      <c r="P72" s="611"/>
      <c r="Q72" s="611"/>
      <c r="R72" s="611"/>
      <c r="S72" s="611"/>
      <c r="T72" s="611"/>
      <c r="U72" s="611"/>
      <c r="V72" s="611"/>
      <c r="W72" s="611"/>
      <c r="X72" s="611"/>
      <c r="Y72" s="611"/>
      <c r="Z72" s="611"/>
      <c r="AA72" s="611"/>
      <c r="AB72" s="611"/>
      <c r="AC72" s="611"/>
      <c r="AD72" s="611"/>
      <c r="AE72" s="611"/>
      <c r="AF72" s="611"/>
      <c r="AG72" s="611"/>
      <c r="AH72" s="611"/>
      <c r="AI72" s="611"/>
      <c r="AJ72" s="611"/>
      <c r="AK72" s="611"/>
      <c r="AL72" s="611"/>
      <c r="AM72" s="611"/>
      <c r="AN72" s="611"/>
      <c r="AO72" s="611"/>
      <c r="AP72" s="611"/>
      <c r="AQ72" s="611"/>
      <c r="AR72" s="611"/>
      <c r="AS72" s="611"/>
      <c r="AT72" s="611"/>
      <c r="AU72" s="611"/>
      <c r="AV72" s="611"/>
      <c r="AW72" s="611"/>
      <c r="AX72" s="611"/>
      <c r="AY72" s="611"/>
      <c r="AZ72" s="611"/>
      <c r="BA72" s="611"/>
      <c r="BB72" s="611"/>
      <c r="BC72" s="611"/>
      <c r="BD72" s="611"/>
      <c r="BE72" s="611"/>
      <c r="BF72" s="611"/>
      <c r="BG72" s="611"/>
      <c r="BH72" s="611"/>
      <c r="BI72" s="611"/>
      <c r="BJ72" s="611"/>
      <c r="BK72" s="611"/>
      <c r="BL72" s="611"/>
      <c r="BM72" s="611"/>
      <c r="BN72" s="611"/>
      <c r="BO72" s="611"/>
      <c r="BP72" s="611"/>
      <c r="BQ72" s="611"/>
    </row>
    <row r="73" spans="1:69" s="612" customFormat="1" ht="118.5" customHeight="1">
      <c r="A73" s="753" t="s">
        <v>514</v>
      </c>
      <c r="B73" s="442" t="s">
        <v>573</v>
      </c>
      <c r="C73" s="194" t="s">
        <v>599</v>
      </c>
      <c r="D73" s="194" t="s">
        <v>543</v>
      </c>
      <c r="E73" s="757">
        <f t="shared" si="0"/>
        <v>6841</v>
      </c>
      <c r="F73" s="757">
        <v>0</v>
      </c>
      <c r="G73" s="105">
        <v>0</v>
      </c>
      <c r="H73" s="757">
        <v>6841</v>
      </c>
      <c r="I73" s="757">
        <f t="shared" si="3"/>
        <v>1321.58</v>
      </c>
      <c r="J73" s="757">
        <v>0</v>
      </c>
      <c r="K73" s="745">
        <v>0</v>
      </c>
      <c r="L73" s="757">
        <v>1321.58</v>
      </c>
      <c r="M73" s="611"/>
      <c r="N73" s="611"/>
      <c r="O73" s="611"/>
      <c r="P73" s="611"/>
      <c r="Q73" s="611"/>
      <c r="R73" s="611"/>
      <c r="S73" s="611"/>
      <c r="T73" s="611"/>
      <c r="U73" s="611"/>
      <c r="V73" s="611"/>
      <c r="W73" s="611"/>
      <c r="X73" s="611"/>
      <c r="Y73" s="611"/>
      <c r="Z73" s="611"/>
      <c r="AA73" s="611"/>
      <c r="AB73" s="611"/>
      <c r="AC73" s="611"/>
      <c r="AD73" s="611"/>
      <c r="AE73" s="611"/>
      <c r="AF73" s="611"/>
      <c r="AG73" s="611"/>
      <c r="AH73" s="611"/>
      <c r="AI73" s="611"/>
      <c r="AJ73" s="611"/>
      <c r="AK73" s="611"/>
      <c r="AL73" s="611"/>
      <c r="AM73" s="611"/>
      <c r="AN73" s="611"/>
      <c r="AO73" s="611"/>
      <c r="AP73" s="611"/>
      <c r="AQ73" s="611"/>
      <c r="AR73" s="611"/>
      <c r="AS73" s="611"/>
      <c r="AT73" s="611"/>
      <c r="AU73" s="611"/>
      <c r="AV73" s="611"/>
      <c r="AW73" s="611"/>
      <c r="AX73" s="611"/>
      <c r="AY73" s="611"/>
      <c r="AZ73" s="611"/>
      <c r="BA73" s="611"/>
      <c r="BB73" s="611"/>
      <c r="BC73" s="611"/>
      <c r="BD73" s="611"/>
      <c r="BE73" s="611"/>
      <c r="BF73" s="611"/>
      <c r="BG73" s="611"/>
      <c r="BH73" s="611"/>
      <c r="BI73" s="611"/>
      <c r="BJ73" s="611"/>
      <c r="BK73" s="611"/>
      <c r="BL73" s="611"/>
      <c r="BM73" s="611"/>
      <c r="BN73" s="611"/>
      <c r="BO73" s="611"/>
      <c r="BP73" s="611"/>
      <c r="BQ73" s="611"/>
    </row>
    <row r="74" spans="1:69" s="605" customFormat="1" ht="68.25" customHeight="1">
      <c r="A74" s="751" t="s">
        <v>379</v>
      </c>
      <c r="B74" s="822" t="s">
        <v>574</v>
      </c>
      <c r="C74" s="823"/>
      <c r="D74" s="823"/>
      <c r="E74" s="824">
        <f>SUM(F74:H74)</f>
        <v>36828.245999999999</v>
      </c>
      <c r="F74" s="824">
        <f>F75+F81+F82</f>
        <v>29969.599999999999</v>
      </c>
      <c r="G74" s="827">
        <f>G75+G81+G82</f>
        <v>6570.6460000000006</v>
      </c>
      <c r="H74" s="824">
        <f>H75+H81+H82</f>
        <v>288</v>
      </c>
      <c r="I74" s="824">
        <f t="shared" ref="I74:I82" si="5">SUM(J74:L74)</f>
        <v>19476.493999999999</v>
      </c>
      <c r="J74" s="824">
        <f>J75+J81+J82</f>
        <v>10377.439999999999</v>
      </c>
      <c r="K74" s="827">
        <f>K75+K81+K82</f>
        <v>2923.5040000000004</v>
      </c>
      <c r="L74" s="824">
        <f>L75+L81+L82</f>
        <v>6175.55</v>
      </c>
      <c r="M74" s="603"/>
      <c r="N74" s="604"/>
      <c r="O74" s="603"/>
      <c r="P74" s="603"/>
      <c r="Q74" s="603"/>
      <c r="R74" s="603"/>
      <c r="S74" s="603"/>
      <c r="T74" s="603"/>
      <c r="U74" s="603"/>
      <c r="V74" s="603"/>
      <c r="W74" s="603"/>
      <c r="X74" s="603"/>
      <c r="Y74" s="603"/>
      <c r="Z74" s="603"/>
      <c r="AA74" s="603"/>
      <c r="AB74" s="603"/>
      <c r="AC74" s="603"/>
      <c r="AD74" s="603"/>
      <c r="AE74" s="603"/>
      <c r="AF74" s="603"/>
      <c r="AG74" s="603"/>
      <c r="AH74" s="603"/>
      <c r="AI74" s="603"/>
      <c r="AJ74" s="603"/>
      <c r="AK74" s="603"/>
      <c r="AL74" s="603"/>
      <c r="AM74" s="603"/>
      <c r="AN74" s="603"/>
      <c r="AO74" s="603"/>
      <c r="AP74" s="603"/>
      <c r="AQ74" s="603"/>
      <c r="AR74" s="603"/>
      <c r="AS74" s="603"/>
      <c r="AT74" s="603"/>
      <c r="AU74" s="603"/>
      <c r="AV74" s="603"/>
      <c r="AW74" s="603"/>
      <c r="AX74" s="603"/>
      <c r="AY74" s="603"/>
      <c r="AZ74" s="603"/>
      <c r="BA74" s="603"/>
      <c r="BB74" s="603"/>
      <c r="BC74" s="603"/>
      <c r="BD74" s="603"/>
      <c r="BE74" s="603"/>
      <c r="BF74" s="603"/>
      <c r="BG74" s="603"/>
      <c r="BH74" s="603"/>
      <c r="BI74" s="603"/>
      <c r="BJ74" s="603"/>
      <c r="BK74" s="603"/>
      <c r="BL74" s="603"/>
      <c r="BM74" s="603"/>
      <c r="BN74" s="603"/>
      <c r="BO74" s="603"/>
      <c r="BP74" s="603"/>
      <c r="BQ74" s="603"/>
    </row>
    <row r="75" spans="1:69" s="612" customFormat="1" ht="59.25" customHeight="1">
      <c r="A75" s="753" t="s">
        <v>380</v>
      </c>
      <c r="B75" s="845" t="s">
        <v>598</v>
      </c>
      <c r="C75" s="194" t="s">
        <v>62</v>
      </c>
      <c r="D75" s="194" t="s">
        <v>543</v>
      </c>
      <c r="E75" s="757">
        <f t="shared" si="0"/>
        <v>36540.245999999999</v>
      </c>
      <c r="F75" s="830">
        <f>SUM(F76:F80)</f>
        <v>29969.599999999999</v>
      </c>
      <c r="G75" s="837">
        <f>SUM(G76:G80)</f>
        <v>6570.6460000000006</v>
      </c>
      <c r="H75" s="830">
        <f>SUM(H76:H80)</f>
        <v>0</v>
      </c>
      <c r="I75" s="757">
        <f t="shared" si="5"/>
        <v>17850.124</v>
      </c>
      <c r="J75" s="757">
        <f>SUM(J76:J80)</f>
        <v>10377.439999999999</v>
      </c>
      <c r="K75" s="105">
        <f>SUM(K76:K80)</f>
        <v>2923.5040000000004</v>
      </c>
      <c r="L75" s="757">
        <f>SUM(L76:L80)</f>
        <v>4549.18</v>
      </c>
      <c r="M75" s="611"/>
      <c r="N75" s="634"/>
      <c r="O75" s="611"/>
      <c r="P75" s="611"/>
      <c r="Q75" s="611"/>
      <c r="R75" s="611"/>
      <c r="S75" s="611"/>
      <c r="T75" s="611"/>
      <c r="U75" s="611"/>
      <c r="V75" s="611"/>
      <c r="W75" s="611"/>
      <c r="X75" s="611"/>
      <c r="Y75" s="611"/>
      <c r="Z75" s="611"/>
      <c r="AA75" s="611"/>
      <c r="AB75" s="611"/>
      <c r="AC75" s="611"/>
      <c r="AD75" s="611"/>
      <c r="AE75" s="611"/>
      <c r="AF75" s="611"/>
      <c r="AG75" s="611"/>
      <c r="AH75" s="611"/>
      <c r="AI75" s="611"/>
      <c r="AJ75" s="611"/>
      <c r="AK75" s="611"/>
      <c r="AL75" s="611"/>
      <c r="AM75" s="611"/>
      <c r="AN75" s="611"/>
      <c r="AO75" s="611"/>
      <c r="AP75" s="611"/>
      <c r="AQ75" s="611"/>
      <c r="AR75" s="611"/>
      <c r="AS75" s="611"/>
      <c r="AT75" s="611"/>
      <c r="AU75" s="611"/>
      <c r="AV75" s="611"/>
      <c r="AW75" s="611"/>
      <c r="AX75" s="611"/>
      <c r="AY75" s="611"/>
      <c r="AZ75" s="611"/>
      <c r="BA75" s="611"/>
      <c r="BB75" s="611"/>
      <c r="BC75" s="611"/>
      <c r="BD75" s="611"/>
      <c r="BE75" s="611"/>
      <c r="BF75" s="611"/>
      <c r="BG75" s="611"/>
      <c r="BH75" s="611"/>
      <c r="BI75" s="611"/>
      <c r="BJ75" s="611"/>
      <c r="BK75" s="611"/>
      <c r="BL75" s="611"/>
      <c r="BM75" s="611"/>
      <c r="BN75" s="611"/>
      <c r="BO75" s="611"/>
      <c r="BP75" s="611"/>
      <c r="BQ75" s="611"/>
    </row>
    <row r="76" spans="1:69" s="621" customFormat="1" ht="36" customHeight="1">
      <c r="A76" s="613"/>
      <c r="B76" s="758" t="s">
        <v>647</v>
      </c>
      <c r="C76" s="724" t="s">
        <v>62</v>
      </c>
      <c r="D76" s="724" t="s">
        <v>543</v>
      </c>
      <c r="E76" s="722">
        <f t="shared" si="0"/>
        <v>32994.485999999997</v>
      </c>
      <c r="F76" s="722">
        <v>29969.599999999999</v>
      </c>
      <c r="G76" s="733">
        <v>3024.886</v>
      </c>
      <c r="H76" s="722">
        <v>0</v>
      </c>
      <c r="I76" s="722">
        <f t="shared" si="5"/>
        <v>11553.623</v>
      </c>
      <c r="J76" s="722">
        <v>5956.58</v>
      </c>
      <c r="K76" s="733">
        <v>2890.2130000000002</v>
      </c>
      <c r="L76" s="722">
        <v>2706.83</v>
      </c>
      <c r="M76" s="620"/>
      <c r="N76" s="641"/>
      <c r="O76" s="660"/>
      <c r="P76" s="620"/>
      <c r="Q76" s="620"/>
      <c r="R76" s="620"/>
      <c r="S76" s="620"/>
      <c r="T76" s="620"/>
      <c r="U76" s="620"/>
      <c r="V76" s="620"/>
      <c r="W76" s="620"/>
      <c r="X76" s="620"/>
      <c r="Y76" s="620"/>
      <c r="Z76" s="620"/>
      <c r="AA76" s="620"/>
      <c r="AB76" s="620"/>
      <c r="AC76" s="620"/>
      <c r="AD76" s="620"/>
      <c r="AE76" s="620"/>
      <c r="AF76" s="620"/>
      <c r="AG76" s="620"/>
      <c r="AH76" s="620"/>
      <c r="AI76" s="620"/>
      <c r="AJ76" s="620"/>
      <c r="AK76" s="620"/>
      <c r="AL76" s="620"/>
      <c r="AM76" s="620"/>
      <c r="AN76" s="620"/>
      <c r="AO76" s="620"/>
      <c r="AP76" s="620"/>
      <c r="AQ76" s="620"/>
      <c r="AR76" s="620"/>
      <c r="AS76" s="620"/>
      <c r="AT76" s="620"/>
      <c r="AU76" s="620"/>
      <c r="AV76" s="620"/>
      <c r="AW76" s="620"/>
      <c r="AX76" s="620"/>
      <c r="AY76" s="620"/>
      <c r="AZ76" s="620"/>
      <c r="BA76" s="620"/>
      <c r="BB76" s="620"/>
      <c r="BC76" s="620"/>
      <c r="BD76" s="620"/>
      <c r="BE76" s="620"/>
      <c r="BF76" s="620"/>
      <c r="BG76" s="620"/>
      <c r="BH76" s="620"/>
      <c r="BI76" s="620"/>
      <c r="BJ76" s="620"/>
      <c r="BK76" s="620"/>
      <c r="BL76" s="620"/>
      <c r="BM76" s="620"/>
      <c r="BN76" s="620"/>
      <c r="BO76" s="620"/>
      <c r="BP76" s="620"/>
      <c r="BQ76" s="620"/>
    </row>
    <row r="77" spans="1:69" s="621" customFormat="1" ht="26.25" customHeight="1">
      <c r="A77" s="613"/>
      <c r="B77" s="758" t="s">
        <v>648</v>
      </c>
      <c r="C77" s="724" t="s">
        <v>62</v>
      </c>
      <c r="D77" s="724" t="s">
        <v>543</v>
      </c>
      <c r="E77" s="722">
        <f t="shared" si="0"/>
        <v>2350</v>
      </c>
      <c r="F77" s="722">
        <v>0</v>
      </c>
      <c r="G77" s="730">
        <v>2350</v>
      </c>
      <c r="H77" s="722">
        <v>0</v>
      </c>
      <c r="I77" s="722">
        <f t="shared" si="5"/>
        <v>5924.2</v>
      </c>
      <c r="J77" s="722">
        <v>4420.8599999999997</v>
      </c>
      <c r="K77" s="730">
        <v>0</v>
      </c>
      <c r="L77" s="722">
        <v>1503.34</v>
      </c>
      <c r="M77" s="620"/>
      <c r="N77" s="620"/>
      <c r="O77" s="620"/>
      <c r="P77" s="620"/>
      <c r="Q77" s="620"/>
      <c r="R77" s="620"/>
      <c r="S77" s="620"/>
      <c r="T77" s="620"/>
      <c r="U77" s="620"/>
      <c r="V77" s="620"/>
      <c r="W77" s="620"/>
      <c r="X77" s="620"/>
      <c r="Y77" s="620"/>
      <c r="Z77" s="620"/>
      <c r="AA77" s="620"/>
      <c r="AB77" s="620"/>
      <c r="AC77" s="620"/>
      <c r="AD77" s="620"/>
      <c r="AE77" s="620"/>
      <c r="AF77" s="620"/>
      <c r="AG77" s="620"/>
      <c r="AH77" s="620"/>
      <c r="AI77" s="620"/>
      <c r="AJ77" s="620"/>
      <c r="AK77" s="620"/>
      <c r="AL77" s="620"/>
      <c r="AM77" s="620"/>
      <c r="AN77" s="620"/>
      <c r="AO77" s="620"/>
      <c r="AP77" s="620"/>
      <c r="AQ77" s="620"/>
      <c r="AR77" s="620"/>
      <c r="AS77" s="620"/>
      <c r="AT77" s="620"/>
      <c r="AU77" s="620"/>
      <c r="AV77" s="620"/>
      <c r="AW77" s="620"/>
      <c r="AX77" s="620"/>
      <c r="AY77" s="620"/>
      <c r="AZ77" s="620"/>
      <c r="BA77" s="620"/>
      <c r="BB77" s="620"/>
      <c r="BC77" s="620"/>
      <c r="BD77" s="620"/>
      <c r="BE77" s="620"/>
      <c r="BF77" s="620"/>
      <c r="BG77" s="620"/>
      <c r="BH77" s="620"/>
      <c r="BI77" s="620"/>
      <c r="BJ77" s="620"/>
      <c r="BK77" s="620"/>
      <c r="BL77" s="620"/>
      <c r="BM77" s="620"/>
      <c r="BN77" s="620"/>
      <c r="BO77" s="620"/>
      <c r="BP77" s="620"/>
      <c r="BQ77" s="620"/>
    </row>
    <row r="78" spans="1:69" s="621" customFormat="1" ht="27" customHeight="1">
      <c r="A78" s="613"/>
      <c r="B78" s="758" t="s">
        <v>649</v>
      </c>
      <c r="C78" s="724" t="s">
        <v>62</v>
      </c>
      <c r="D78" s="724" t="s">
        <v>543</v>
      </c>
      <c r="E78" s="722">
        <f t="shared" si="0"/>
        <v>0</v>
      </c>
      <c r="F78" s="722">
        <v>0</v>
      </c>
      <c r="G78" s="730">
        <v>0</v>
      </c>
      <c r="H78" s="722">
        <v>0</v>
      </c>
      <c r="I78" s="722">
        <f t="shared" si="5"/>
        <v>0</v>
      </c>
      <c r="J78" s="722">
        <v>0</v>
      </c>
      <c r="K78" s="730">
        <v>0</v>
      </c>
      <c r="L78" s="722">
        <v>0</v>
      </c>
      <c r="M78" s="620"/>
      <c r="N78" s="620"/>
      <c r="O78" s="620"/>
      <c r="P78" s="620"/>
      <c r="Q78" s="620"/>
      <c r="R78" s="620"/>
      <c r="S78" s="620"/>
      <c r="T78" s="620"/>
      <c r="U78" s="620"/>
      <c r="V78" s="620"/>
      <c r="W78" s="620"/>
      <c r="X78" s="620"/>
      <c r="Y78" s="620"/>
      <c r="Z78" s="620"/>
      <c r="AA78" s="620"/>
      <c r="AB78" s="620"/>
      <c r="AC78" s="620"/>
      <c r="AD78" s="620"/>
      <c r="AE78" s="620"/>
      <c r="AF78" s="620"/>
      <c r="AG78" s="620"/>
      <c r="AH78" s="620"/>
      <c r="AI78" s="620"/>
      <c r="AJ78" s="620"/>
      <c r="AK78" s="620"/>
      <c r="AL78" s="620"/>
      <c r="AM78" s="620"/>
      <c r="AN78" s="620"/>
      <c r="AO78" s="620"/>
      <c r="AP78" s="620"/>
      <c r="AQ78" s="620"/>
      <c r="AR78" s="620"/>
      <c r="AS78" s="620"/>
      <c r="AT78" s="620"/>
      <c r="AU78" s="620"/>
      <c r="AV78" s="620"/>
      <c r="AW78" s="620"/>
      <c r="AX78" s="620"/>
      <c r="AY78" s="620"/>
      <c r="AZ78" s="620"/>
      <c r="BA78" s="620"/>
      <c r="BB78" s="620"/>
      <c r="BC78" s="620"/>
      <c r="BD78" s="620"/>
      <c r="BE78" s="620"/>
      <c r="BF78" s="620"/>
      <c r="BG78" s="620"/>
      <c r="BH78" s="620"/>
      <c r="BI78" s="620"/>
      <c r="BJ78" s="620"/>
      <c r="BK78" s="620"/>
      <c r="BL78" s="620"/>
      <c r="BM78" s="620"/>
      <c r="BN78" s="620"/>
      <c r="BO78" s="620"/>
      <c r="BP78" s="620"/>
      <c r="BQ78" s="620"/>
    </row>
    <row r="79" spans="1:69" s="621" customFormat="1" ht="29.25" customHeight="1">
      <c r="A79" s="613"/>
      <c r="B79" s="758" t="s">
        <v>650</v>
      </c>
      <c r="C79" s="724" t="s">
        <v>62</v>
      </c>
      <c r="D79" s="724" t="s">
        <v>543</v>
      </c>
      <c r="E79" s="722">
        <f t="shared" si="0"/>
        <v>1195.76</v>
      </c>
      <c r="F79" s="722">
        <v>0</v>
      </c>
      <c r="G79" s="730">
        <v>1195.76</v>
      </c>
      <c r="H79" s="722">
        <v>0</v>
      </c>
      <c r="I79" s="722">
        <f t="shared" si="5"/>
        <v>140.131</v>
      </c>
      <c r="J79" s="722">
        <v>0</v>
      </c>
      <c r="K79" s="733">
        <v>33.290999999999997</v>
      </c>
      <c r="L79" s="722">
        <v>106.84</v>
      </c>
      <c r="M79" s="620"/>
      <c r="N79" s="620"/>
      <c r="O79" s="620"/>
      <c r="P79" s="620"/>
      <c r="Q79" s="620"/>
      <c r="R79" s="620"/>
      <c r="S79" s="620"/>
      <c r="T79" s="620"/>
      <c r="U79" s="620"/>
      <c r="V79" s="620"/>
      <c r="W79" s="620"/>
      <c r="X79" s="620"/>
      <c r="Y79" s="620"/>
      <c r="Z79" s="620"/>
      <c r="AA79" s="620"/>
      <c r="AB79" s="620"/>
      <c r="AC79" s="620"/>
      <c r="AD79" s="620"/>
      <c r="AE79" s="620"/>
      <c r="AF79" s="620"/>
      <c r="AG79" s="620"/>
      <c r="AH79" s="620"/>
      <c r="AI79" s="620"/>
      <c r="AJ79" s="620"/>
      <c r="AK79" s="620"/>
      <c r="AL79" s="620"/>
      <c r="AM79" s="620"/>
      <c r="AN79" s="620"/>
      <c r="AO79" s="620"/>
      <c r="AP79" s="620"/>
      <c r="AQ79" s="620"/>
      <c r="AR79" s="620"/>
      <c r="AS79" s="620"/>
      <c r="AT79" s="620"/>
      <c r="AU79" s="620"/>
      <c r="AV79" s="620"/>
      <c r="AW79" s="620"/>
      <c r="AX79" s="620"/>
      <c r="AY79" s="620"/>
      <c r="AZ79" s="620"/>
      <c r="BA79" s="620"/>
      <c r="BB79" s="620"/>
      <c r="BC79" s="620"/>
      <c r="BD79" s="620"/>
      <c r="BE79" s="620"/>
      <c r="BF79" s="620"/>
      <c r="BG79" s="620"/>
      <c r="BH79" s="620"/>
      <c r="BI79" s="620"/>
      <c r="BJ79" s="620"/>
      <c r="BK79" s="620"/>
      <c r="BL79" s="620"/>
      <c r="BM79" s="620"/>
      <c r="BN79" s="620"/>
      <c r="BO79" s="620"/>
      <c r="BP79" s="620"/>
      <c r="BQ79" s="620"/>
    </row>
    <row r="80" spans="1:69" s="621" customFormat="1" ht="39" customHeight="1">
      <c r="A80" s="613"/>
      <c r="B80" s="758" t="s">
        <v>651</v>
      </c>
      <c r="C80" s="724" t="s">
        <v>62</v>
      </c>
      <c r="D80" s="724" t="s">
        <v>543</v>
      </c>
      <c r="E80" s="722">
        <f t="shared" si="0"/>
        <v>0</v>
      </c>
      <c r="F80" s="722">
        <v>0</v>
      </c>
      <c r="G80" s="730">
        <v>0</v>
      </c>
      <c r="H80" s="722">
        <v>0</v>
      </c>
      <c r="I80" s="722">
        <f t="shared" si="5"/>
        <v>232.17</v>
      </c>
      <c r="J80" s="722">
        <v>0</v>
      </c>
      <c r="K80" s="730">
        <v>0</v>
      </c>
      <c r="L80" s="722">
        <v>232.17</v>
      </c>
      <c r="M80" s="620"/>
      <c r="N80" s="620"/>
      <c r="O80" s="620"/>
      <c r="P80" s="620"/>
      <c r="Q80" s="620"/>
      <c r="R80" s="620"/>
      <c r="S80" s="620"/>
      <c r="T80" s="620"/>
      <c r="U80" s="620"/>
      <c r="V80" s="620"/>
      <c r="W80" s="620"/>
      <c r="X80" s="620"/>
      <c r="Y80" s="620"/>
      <c r="Z80" s="620"/>
      <c r="AA80" s="620"/>
      <c r="AB80" s="620"/>
      <c r="AC80" s="620"/>
      <c r="AD80" s="620"/>
      <c r="AE80" s="620"/>
      <c r="AF80" s="620"/>
      <c r="AG80" s="620"/>
      <c r="AH80" s="620"/>
      <c r="AI80" s="620"/>
      <c r="AJ80" s="620"/>
      <c r="AK80" s="620"/>
      <c r="AL80" s="620"/>
      <c r="AM80" s="620"/>
      <c r="AN80" s="620"/>
      <c r="AO80" s="620"/>
      <c r="AP80" s="620"/>
      <c r="AQ80" s="620"/>
      <c r="AR80" s="620"/>
      <c r="AS80" s="620"/>
      <c r="AT80" s="620"/>
      <c r="AU80" s="620"/>
      <c r="AV80" s="620"/>
      <c r="AW80" s="620"/>
      <c r="AX80" s="620"/>
      <c r="AY80" s="620"/>
      <c r="AZ80" s="620"/>
      <c r="BA80" s="620"/>
      <c r="BB80" s="620"/>
      <c r="BC80" s="620"/>
      <c r="BD80" s="620"/>
      <c r="BE80" s="620"/>
      <c r="BF80" s="620"/>
      <c r="BG80" s="620"/>
      <c r="BH80" s="620"/>
      <c r="BI80" s="620"/>
      <c r="BJ80" s="620"/>
      <c r="BK80" s="620"/>
      <c r="BL80" s="620"/>
      <c r="BM80" s="620"/>
      <c r="BN80" s="620"/>
      <c r="BO80" s="620"/>
      <c r="BP80" s="620"/>
      <c r="BQ80" s="620"/>
    </row>
    <row r="81" spans="1:69" s="612" customFormat="1" ht="58.5" customHeight="1">
      <c r="A81" s="753" t="s">
        <v>576</v>
      </c>
      <c r="B81" s="845" t="s">
        <v>577</v>
      </c>
      <c r="C81" s="194" t="s">
        <v>575</v>
      </c>
      <c r="D81" s="194" t="s">
        <v>543</v>
      </c>
      <c r="E81" s="757">
        <f>SUM(F81:H81)</f>
        <v>0</v>
      </c>
      <c r="F81" s="757">
        <v>0</v>
      </c>
      <c r="G81" s="105">
        <v>0</v>
      </c>
      <c r="H81" s="830">
        <v>0</v>
      </c>
      <c r="I81" s="757">
        <f t="shared" si="5"/>
        <v>1626.37</v>
      </c>
      <c r="J81" s="757">
        <v>0</v>
      </c>
      <c r="K81" s="745">
        <v>0</v>
      </c>
      <c r="L81" s="757">
        <v>1626.37</v>
      </c>
      <c r="M81" s="611"/>
      <c r="N81" s="611"/>
      <c r="O81" s="611"/>
      <c r="P81" s="611"/>
      <c r="Q81" s="611"/>
      <c r="R81" s="611"/>
      <c r="S81" s="611"/>
      <c r="T81" s="611"/>
      <c r="U81" s="611"/>
      <c r="V81" s="611"/>
      <c r="W81" s="611"/>
      <c r="X81" s="611"/>
      <c r="Y81" s="611"/>
      <c r="Z81" s="611"/>
      <c r="AA81" s="611"/>
      <c r="AB81" s="611"/>
      <c r="AC81" s="611"/>
      <c r="AD81" s="611"/>
      <c r="AE81" s="611"/>
      <c r="AF81" s="611"/>
      <c r="AG81" s="611"/>
      <c r="AH81" s="611"/>
      <c r="AI81" s="611"/>
      <c r="AJ81" s="611"/>
      <c r="AK81" s="611"/>
      <c r="AL81" s="611"/>
      <c r="AM81" s="611"/>
      <c r="AN81" s="611"/>
      <c r="AO81" s="611"/>
      <c r="AP81" s="611"/>
      <c r="AQ81" s="611"/>
      <c r="AR81" s="611"/>
      <c r="AS81" s="611"/>
      <c r="AT81" s="611"/>
      <c r="AU81" s="611"/>
      <c r="AV81" s="611"/>
      <c r="AW81" s="611"/>
      <c r="AX81" s="611"/>
      <c r="AY81" s="611"/>
      <c r="AZ81" s="611"/>
      <c r="BA81" s="611"/>
      <c r="BB81" s="611"/>
      <c r="BC81" s="611"/>
      <c r="BD81" s="611"/>
      <c r="BE81" s="611"/>
      <c r="BF81" s="611"/>
      <c r="BG81" s="611"/>
      <c r="BH81" s="611"/>
      <c r="BI81" s="611"/>
      <c r="BJ81" s="611"/>
      <c r="BK81" s="611"/>
      <c r="BL81" s="611"/>
      <c r="BM81" s="611"/>
      <c r="BN81" s="611"/>
      <c r="BO81" s="611"/>
      <c r="BP81" s="611"/>
      <c r="BQ81" s="611"/>
    </row>
    <row r="82" spans="1:69" s="612" customFormat="1" ht="99.75" customHeight="1">
      <c r="A82" s="753" t="s">
        <v>384</v>
      </c>
      <c r="B82" s="442" t="s">
        <v>578</v>
      </c>
      <c r="C82" s="194" t="s">
        <v>62</v>
      </c>
      <c r="D82" s="194" t="s">
        <v>543</v>
      </c>
      <c r="E82" s="757">
        <f>SUM(F82:H82)</f>
        <v>288</v>
      </c>
      <c r="F82" s="757">
        <v>0</v>
      </c>
      <c r="G82" s="105">
        <v>0</v>
      </c>
      <c r="H82" s="830">
        <v>288</v>
      </c>
      <c r="I82" s="757">
        <f t="shared" si="5"/>
        <v>0</v>
      </c>
      <c r="J82" s="757">
        <v>0</v>
      </c>
      <c r="K82" s="745">
        <v>0</v>
      </c>
      <c r="L82" s="194">
        <v>0</v>
      </c>
      <c r="M82" s="611"/>
      <c r="N82" s="611"/>
      <c r="O82" s="611"/>
      <c r="P82" s="611"/>
      <c r="Q82" s="611"/>
      <c r="R82" s="611"/>
      <c r="S82" s="611"/>
      <c r="T82" s="611"/>
      <c r="U82" s="611"/>
      <c r="V82" s="611"/>
      <c r="W82" s="611"/>
      <c r="X82" s="611"/>
      <c r="Y82" s="611"/>
      <c r="Z82" s="611"/>
      <c r="AA82" s="611"/>
      <c r="AB82" s="611"/>
      <c r="AC82" s="611"/>
      <c r="AD82" s="611"/>
      <c r="AE82" s="611"/>
      <c r="AF82" s="611"/>
      <c r="AG82" s="611"/>
      <c r="AH82" s="611"/>
      <c r="AI82" s="611"/>
      <c r="AJ82" s="611"/>
      <c r="AK82" s="611"/>
      <c r="AL82" s="611"/>
      <c r="AM82" s="611"/>
      <c r="AN82" s="611"/>
      <c r="AO82" s="611"/>
      <c r="AP82" s="611"/>
      <c r="AQ82" s="611"/>
      <c r="AR82" s="611"/>
      <c r="AS82" s="611"/>
      <c r="AT82" s="611"/>
      <c r="AU82" s="611"/>
      <c r="AV82" s="611"/>
      <c r="AW82" s="611"/>
      <c r="AX82" s="611"/>
      <c r="AY82" s="611"/>
      <c r="AZ82" s="611"/>
      <c r="BA82" s="611"/>
      <c r="BB82" s="611"/>
      <c r="BC82" s="611"/>
      <c r="BD82" s="611"/>
      <c r="BE82" s="611"/>
      <c r="BF82" s="611"/>
      <c r="BG82" s="611"/>
      <c r="BH82" s="611"/>
      <c r="BI82" s="611"/>
      <c r="BJ82" s="611"/>
      <c r="BK82" s="611"/>
      <c r="BL82" s="611"/>
      <c r="BM82" s="611"/>
      <c r="BN82" s="611"/>
      <c r="BO82" s="611"/>
      <c r="BP82" s="611"/>
      <c r="BQ82" s="611"/>
    </row>
    <row r="83" spans="1:69" s="594" customFormat="1" ht="18.75" customHeight="1">
      <c r="A83" s="1079" t="s">
        <v>7</v>
      </c>
      <c r="B83" s="1079"/>
      <c r="C83" s="1079"/>
      <c r="D83" s="1079"/>
      <c r="E83" s="755">
        <f>SUM(F83:H83)</f>
        <v>288698.5</v>
      </c>
      <c r="F83" s="662">
        <f>F12+F32+F43+F64+F74</f>
        <v>102576.70999999999</v>
      </c>
      <c r="G83" s="297">
        <f>G12+G32+G43+G64+G74</f>
        <v>14735.210000000001</v>
      </c>
      <c r="H83" s="662">
        <f>H12+H32+H43+H64+H74</f>
        <v>171386.58000000002</v>
      </c>
      <c r="I83" s="663">
        <f>SUM(J83:L83)</f>
        <v>102170.09625999999</v>
      </c>
      <c r="J83" s="663">
        <f>J12+J32+J43+J64+J74</f>
        <v>41843.33296</v>
      </c>
      <c r="K83" s="111">
        <f>K12+K32+K43+K64+K74</f>
        <v>6563.4470000000001</v>
      </c>
      <c r="L83" s="663">
        <f>L12+L32+L43+L64+L74</f>
        <v>53763.316299999999</v>
      </c>
      <c r="M83" s="593"/>
      <c r="N83" s="593"/>
      <c r="O83" s="593"/>
      <c r="P83" s="593"/>
      <c r="Q83" s="593"/>
      <c r="R83" s="593"/>
      <c r="S83" s="593"/>
      <c r="T83" s="593"/>
      <c r="U83" s="593"/>
      <c r="V83" s="593"/>
      <c r="W83" s="593"/>
      <c r="X83" s="593"/>
      <c r="Y83" s="593"/>
      <c r="Z83" s="593"/>
      <c r="AA83" s="593"/>
      <c r="AB83" s="593"/>
      <c r="AC83" s="593"/>
      <c r="AD83" s="593"/>
      <c r="AE83" s="593"/>
      <c r="AF83" s="593"/>
      <c r="AG83" s="593"/>
      <c r="AH83" s="593"/>
      <c r="AI83" s="593"/>
      <c r="AJ83" s="593"/>
      <c r="AK83" s="593"/>
      <c r="AL83" s="593"/>
      <c r="AM83" s="593"/>
      <c r="AN83" s="593"/>
      <c r="AO83" s="593"/>
      <c r="AP83" s="593"/>
      <c r="AQ83" s="593"/>
      <c r="AR83" s="593"/>
      <c r="AS83" s="593"/>
      <c r="AT83" s="593"/>
      <c r="AU83" s="593"/>
      <c r="AV83" s="593"/>
      <c r="AW83" s="593"/>
      <c r="AX83" s="593"/>
      <c r="AY83" s="593"/>
      <c r="AZ83" s="593"/>
      <c r="BA83" s="593"/>
      <c r="BB83" s="593"/>
      <c r="BC83" s="593"/>
      <c r="BD83" s="593"/>
      <c r="BE83" s="593"/>
      <c r="BF83" s="593"/>
      <c r="BG83" s="593"/>
      <c r="BH83" s="593"/>
      <c r="BI83" s="593"/>
      <c r="BJ83" s="593"/>
      <c r="BK83" s="593"/>
      <c r="BL83" s="593"/>
      <c r="BM83" s="593"/>
      <c r="BN83" s="593"/>
      <c r="BO83" s="593"/>
      <c r="BP83" s="593"/>
      <c r="BQ83" s="593"/>
    </row>
    <row r="84" spans="1:69">
      <c r="A84" s="589"/>
      <c r="G84" s="664"/>
      <c r="L84" s="665"/>
    </row>
    <row r="85" spans="1:69" s="666" customFormat="1" ht="18.75">
      <c r="B85" s="698" t="s">
        <v>822</v>
      </c>
      <c r="C85" s="668" t="s">
        <v>821</v>
      </c>
      <c r="H85" s="669"/>
      <c r="I85" s="739"/>
      <c r="J85" s="670"/>
      <c r="K85" s="670"/>
      <c r="L85" s="670"/>
      <c r="M85" s="670"/>
      <c r="N85" s="670"/>
      <c r="O85" s="670"/>
      <c r="P85" s="670"/>
      <c r="Q85" s="670"/>
      <c r="R85" s="670"/>
      <c r="S85" s="670"/>
      <c r="T85" s="670"/>
      <c r="U85" s="670"/>
      <c r="V85" s="670"/>
      <c r="W85" s="670"/>
      <c r="X85" s="670"/>
    </row>
    <row r="86" spans="1:69" s="666" customFormat="1" ht="29.25" customHeight="1">
      <c r="B86" s="667"/>
      <c r="C86" s="668"/>
      <c r="H86" s="669"/>
      <c r="I86" s="739"/>
      <c r="J86" s="670"/>
      <c r="K86" s="670"/>
      <c r="L86" s="670"/>
      <c r="M86" s="670"/>
      <c r="N86" s="670"/>
      <c r="O86" s="670"/>
      <c r="P86" s="670"/>
      <c r="Q86" s="670"/>
      <c r="R86" s="670"/>
      <c r="S86" s="670"/>
      <c r="T86" s="670"/>
      <c r="U86" s="670"/>
      <c r="V86" s="670"/>
      <c r="W86" s="670"/>
      <c r="X86" s="670"/>
    </row>
    <row r="87" spans="1:69" s="671" customFormat="1" ht="16.5" customHeight="1">
      <c r="B87" s="672" t="s">
        <v>838</v>
      </c>
      <c r="C87" s="673"/>
      <c r="H87" s="319"/>
      <c r="I87" s="740"/>
      <c r="J87" s="265"/>
      <c r="K87" s="265"/>
      <c r="L87" s="265"/>
      <c r="M87" s="265"/>
      <c r="N87" s="265"/>
      <c r="O87" s="265"/>
      <c r="P87" s="265"/>
      <c r="Q87" s="265"/>
      <c r="R87" s="265"/>
      <c r="S87" s="265"/>
      <c r="T87" s="265"/>
      <c r="U87" s="265"/>
      <c r="V87" s="265"/>
      <c r="W87" s="265"/>
      <c r="X87" s="265"/>
    </row>
    <row r="88" spans="1:69" s="125" customFormat="1" ht="16.5" customHeight="1">
      <c r="B88" s="237"/>
      <c r="C88" s="238"/>
      <c r="H88" s="319"/>
      <c r="I88" s="740"/>
      <c r="J88" s="124"/>
      <c r="K88" s="124"/>
      <c r="L88" s="124"/>
      <c r="M88" s="124"/>
      <c r="N88" s="124"/>
      <c r="O88" s="124"/>
      <c r="P88" s="124"/>
      <c r="Q88" s="124"/>
      <c r="R88" s="124"/>
      <c r="S88" s="124"/>
      <c r="T88" s="124"/>
      <c r="U88" s="124"/>
      <c r="V88" s="124"/>
      <c r="W88" s="124"/>
      <c r="X88" s="124"/>
    </row>
    <row r="89" spans="1:69">
      <c r="A89" s="589"/>
      <c r="L89" s="665"/>
    </row>
    <row r="90" spans="1:69">
      <c r="A90" s="674" t="s">
        <v>8</v>
      </c>
      <c r="B90" s="675"/>
      <c r="C90" s="676"/>
      <c r="D90" s="676"/>
      <c r="E90" s="677"/>
      <c r="F90" s="678"/>
      <c r="G90" s="679"/>
      <c r="H90" s="679"/>
      <c r="I90" s="741"/>
      <c r="J90" s="680"/>
      <c r="L90" s="665"/>
    </row>
    <row r="91" spans="1:69">
      <c r="A91" s="681"/>
      <c r="B91" s="682"/>
      <c r="C91" s="582"/>
      <c r="D91" s="582"/>
      <c r="E91" s="677"/>
      <c r="F91" s="678"/>
      <c r="G91" s="679"/>
      <c r="H91" s="679"/>
      <c r="I91" s="742"/>
      <c r="J91" s="679" t="s">
        <v>9</v>
      </c>
      <c r="L91" s="665"/>
    </row>
    <row r="92" spans="1:69">
      <c r="A92" s="681"/>
      <c r="B92" s="1067" t="s">
        <v>10</v>
      </c>
      <c r="C92" s="1068"/>
      <c r="D92" s="1069"/>
      <c r="E92" s="1070" t="s">
        <v>11</v>
      </c>
      <c r="F92" s="1071"/>
      <c r="G92" s="1072"/>
      <c r="H92" s="1070" t="s">
        <v>12</v>
      </c>
      <c r="I92" s="1071"/>
      <c r="J92" s="1072"/>
    </row>
    <row r="93" spans="1:69" ht="31.5">
      <c r="A93" s="681"/>
      <c r="B93" s="194" t="s">
        <v>13</v>
      </c>
      <c r="C93" s="194" t="s">
        <v>14</v>
      </c>
      <c r="D93" s="194" t="s">
        <v>15</v>
      </c>
      <c r="E93" s="683" t="s">
        <v>13</v>
      </c>
      <c r="F93" s="683" t="s">
        <v>14</v>
      </c>
      <c r="G93" s="683" t="s">
        <v>15</v>
      </c>
      <c r="H93" s="683" t="s">
        <v>13</v>
      </c>
      <c r="I93" s="738" t="s">
        <v>14</v>
      </c>
      <c r="J93" s="683" t="s">
        <v>15</v>
      </c>
    </row>
    <row r="94" spans="1:69">
      <c r="A94" s="684"/>
      <c r="B94" s="685">
        <f>SUM(C94:D94)</f>
        <v>288698.50000000006</v>
      </c>
      <c r="C94" s="685">
        <f>G83</f>
        <v>14735.210000000001</v>
      </c>
      <c r="D94" s="686">
        <f>H83+F83</f>
        <v>273963.29000000004</v>
      </c>
      <c r="E94" s="687">
        <f>SUM(F94:G94)</f>
        <v>102170.09626000001</v>
      </c>
      <c r="F94" s="687">
        <f>K83</f>
        <v>6563.4470000000001</v>
      </c>
      <c r="G94" s="687">
        <f>J83+L83</f>
        <v>95606.649260000006</v>
      </c>
      <c r="H94" s="662">
        <f>B94-E94</f>
        <v>186528.40374000004</v>
      </c>
      <c r="I94" s="743">
        <f>F94-C94</f>
        <v>-8171.7630000000008</v>
      </c>
      <c r="J94" s="688">
        <f>G94-D94</f>
        <v>-178356.64074000003</v>
      </c>
    </row>
    <row r="95" spans="1:69">
      <c r="A95" s="589"/>
      <c r="C95" s="689"/>
    </row>
    <row r="96" spans="1:69">
      <c r="A96" s="589"/>
    </row>
    <row r="97" spans="1:24" s="666" customFormat="1" ht="18.75">
      <c r="B97" s="698" t="s">
        <v>822</v>
      </c>
      <c r="C97" s="668" t="s">
        <v>821</v>
      </c>
      <c r="H97" s="669"/>
      <c r="I97" s="739"/>
      <c r="J97" s="670"/>
      <c r="K97" s="670"/>
      <c r="L97" s="670"/>
      <c r="M97" s="670"/>
      <c r="N97" s="670"/>
      <c r="O97" s="670"/>
      <c r="P97" s="670"/>
      <c r="Q97" s="670"/>
      <c r="R97" s="670"/>
      <c r="S97" s="670"/>
      <c r="T97" s="670"/>
      <c r="U97" s="670"/>
      <c r="V97" s="670"/>
      <c r="W97" s="670"/>
      <c r="X97" s="670"/>
    </row>
    <row r="98" spans="1:24" s="666" customFormat="1" ht="29.25" customHeight="1">
      <c r="B98" s="667"/>
      <c r="C98" s="668"/>
      <c r="H98" s="669"/>
      <c r="I98" s="739"/>
      <c r="J98" s="670"/>
      <c r="K98" s="670"/>
      <c r="L98" s="670"/>
      <c r="M98" s="670"/>
      <c r="N98" s="670"/>
      <c r="O98" s="670"/>
      <c r="P98" s="670"/>
      <c r="Q98" s="670"/>
      <c r="R98" s="670"/>
      <c r="S98" s="670"/>
      <c r="T98" s="670"/>
      <c r="U98" s="670"/>
      <c r="V98" s="670"/>
      <c r="W98" s="670"/>
      <c r="X98" s="670"/>
    </row>
    <row r="99" spans="1:24" s="671" customFormat="1" ht="16.5" customHeight="1">
      <c r="B99" s="672" t="s">
        <v>838</v>
      </c>
      <c r="C99" s="673"/>
      <c r="H99" s="319"/>
      <c r="I99" s="740"/>
      <c r="J99" s="265"/>
      <c r="K99" s="265"/>
      <c r="L99" s="265"/>
      <c r="M99" s="265"/>
      <c r="N99" s="265"/>
      <c r="O99" s="265"/>
      <c r="P99" s="265"/>
      <c r="Q99" s="265"/>
      <c r="R99" s="265"/>
      <c r="S99" s="265"/>
      <c r="T99" s="265"/>
      <c r="U99" s="265"/>
      <c r="V99" s="265"/>
      <c r="W99" s="265"/>
      <c r="X99" s="265"/>
    </row>
    <row r="100" spans="1:24">
      <c r="A100" s="589"/>
    </row>
    <row r="101" spans="1:24">
      <c r="A101" s="589"/>
    </row>
    <row r="102" spans="1:24">
      <c r="A102" s="589"/>
    </row>
    <row r="103" spans="1:24">
      <c r="A103" s="589"/>
    </row>
    <row r="104" spans="1:24">
      <c r="A104" s="589"/>
    </row>
    <row r="105" spans="1:24">
      <c r="A105" s="589"/>
    </row>
    <row r="106" spans="1:24">
      <c r="A106" s="589"/>
    </row>
    <row r="107" spans="1:24">
      <c r="A107" s="589"/>
    </row>
    <row r="108" spans="1:24">
      <c r="A108" s="589"/>
    </row>
    <row r="109" spans="1:24">
      <c r="A109" s="589"/>
    </row>
    <row r="110" spans="1:24">
      <c r="A110" s="589"/>
    </row>
    <row r="111" spans="1:24">
      <c r="A111" s="589"/>
    </row>
    <row r="112" spans="1:24">
      <c r="A112" s="589"/>
    </row>
    <row r="113" spans="1:1">
      <c r="A113" s="589"/>
    </row>
    <row r="114" spans="1:1">
      <c r="A114" s="589"/>
    </row>
    <row r="115" spans="1:1">
      <c r="A115" s="589"/>
    </row>
    <row r="116" spans="1:1">
      <c r="A116" s="589"/>
    </row>
    <row r="117" spans="1:1">
      <c r="A117" s="589"/>
    </row>
    <row r="118" spans="1:1">
      <c r="A118" s="589"/>
    </row>
    <row r="119" spans="1:1">
      <c r="A119" s="589"/>
    </row>
    <row r="120" spans="1:1">
      <c r="A120" s="589"/>
    </row>
    <row r="121" spans="1:1">
      <c r="A121" s="589"/>
    </row>
    <row r="122" spans="1:1">
      <c r="A122" s="589"/>
    </row>
    <row r="123" spans="1:1">
      <c r="A123" s="589"/>
    </row>
    <row r="124" spans="1:1">
      <c r="A124" s="589"/>
    </row>
    <row r="125" spans="1:1">
      <c r="A125" s="589"/>
    </row>
    <row r="126" spans="1:1">
      <c r="A126" s="589"/>
    </row>
    <row r="127" spans="1:1">
      <c r="A127" s="589"/>
    </row>
    <row r="128" spans="1:1">
      <c r="A128" s="589"/>
    </row>
    <row r="129" spans="1:1">
      <c r="A129" s="589"/>
    </row>
    <row r="130" spans="1:1">
      <c r="A130" s="589"/>
    </row>
    <row r="131" spans="1:1">
      <c r="A131" s="589"/>
    </row>
    <row r="132" spans="1:1">
      <c r="A132" s="589"/>
    </row>
    <row r="133" spans="1:1">
      <c r="A133" s="589"/>
    </row>
    <row r="134" spans="1:1">
      <c r="A134" s="589"/>
    </row>
    <row r="135" spans="1:1">
      <c r="A135" s="589"/>
    </row>
    <row r="136" spans="1:1">
      <c r="A136" s="589"/>
    </row>
    <row r="137" spans="1:1">
      <c r="A137" s="589"/>
    </row>
    <row r="138" spans="1:1">
      <c r="A138" s="589"/>
    </row>
    <row r="139" spans="1:1">
      <c r="A139" s="589"/>
    </row>
    <row r="140" spans="1:1">
      <c r="A140" s="589"/>
    </row>
    <row r="141" spans="1:1">
      <c r="A141" s="589"/>
    </row>
    <row r="142" spans="1:1">
      <c r="A142" s="589"/>
    </row>
    <row r="143" spans="1:1">
      <c r="A143" s="589"/>
    </row>
    <row r="144" spans="1:1">
      <c r="A144" s="589"/>
    </row>
    <row r="145" spans="1:1">
      <c r="A145" s="589"/>
    </row>
    <row r="146" spans="1:1">
      <c r="A146" s="589"/>
    </row>
    <row r="147" spans="1:1">
      <c r="A147" s="589"/>
    </row>
    <row r="148" spans="1:1">
      <c r="A148" s="589"/>
    </row>
    <row r="149" spans="1:1">
      <c r="A149" s="589"/>
    </row>
    <row r="150" spans="1:1">
      <c r="A150" s="589"/>
    </row>
    <row r="151" spans="1:1">
      <c r="A151" s="589"/>
    </row>
    <row r="152" spans="1:1">
      <c r="A152" s="589"/>
    </row>
    <row r="153" spans="1:1">
      <c r="A153" s="589"/>
    </row>
    <row r="154" spans="1:1">
      <c r="A154" s="589"/>
    </row>
    <row r="155" spans="1:1">
      <c r="A155" s="589"/>
    </row>
    <row r="156" spans="1:1">
      <c r="A156" s="589"/>
    </row>
    <row r="157" spans="1:1">
      <c r="A157" s="589"/>
    </row>
    <row r="158" spans="1:1">
      <c r="A158" s="589"/>
    </row>
    <row r="159" spans="1:1">
      <c r="A159" s="589"/>
    </row>
    <row r="160" spans="1:1">
      <c r="A160" s="589"/>
    </row>
    <row r="161" spans="1:1">
      <c r="A161" s="589"/>
    </row>
    <row r="162" spans="1:1">
      <c r="A162" s="589"/>
    </row>
    <row r="163" spans="1:1">
      <c r="A163" s="589"/>
    </row>
    <row r="164" spans="1:1">
      <c r="A164" s="589"/>
    </row>
    <row r="165" spans="1:1">
      <c r="A165" s="589"/>
    </row>
    <row r="166" spans="1:1">
      <c r="A166" s="589"/>
    </row>
    <row r="167" spans="1:1">
      <c r="A167" s="589"/>
    </row>
    <row r="168" spans="1:1">
      <c r="A168" s="589"/>
    </row>
    <row r="169" spans="1:1">
      <c r="A169" s="589"/>
    </row>
    <row r="170" spans="1:1">
      <c r="A170" s="589"/>
    </row>
    <row r="171" spans="1:1">
      <c r="A171" s="589"/>
    </row>
    <row r="172" spans="1:1">
      <c r="A172" s="589"/>
    </row>
    <row r="173" spans="1:1">
      <c r="A173" s="589"/>
    </row>
    <row r="174" spans="1:1">
      <c r="A174" s="589"/>
    </row>
    <row r="175" spans="1:1">
      <c r="A175" s="589"/>
    </row>
    <row r="176" spans="1:1">
      <c r="A176" s="589"/>
    </row>
    <row r="177" spans="1:1">
      <c r="A177" s="589"/>
    </row>
    <row r="178" spans="1:1">
      <c r="A178" s="589"/>
    </row>
    <row r="179" spans="1:1">
      <c r="A179" s="589"/>
    </row>
    <row r="180" spans="1:1">
      <c r="A180" s="589"/>
    </row>
    <row r="181" spans="1:1">
      <c r="A181" s="589"/>
    </row>
    <row r="182" spans="1:1">
      <c r="A182" s="589"/>
    </row>
    <row r="183" spans="1:1">
      <c r="A183" s="589"/>
    </row>
    <row r="184" spans="1:1">
      <c r="A184" s="589"/>
    </row>
    <row r="185" spans="1:1">
      <c r="A185" s="589"/>
    </row>
    <row r="186" spans="1:1">
      <c r="A186" s="589"/>
    </row>
    <row r="187" spans="1:1">
      <c r="A187" s="589"/>
    </row>
    <row r="188" spans="1:1">
      <c r="A188" s="589"/>
    </row>
    <row r="189" spans="1:1">
      <c r="A189" s="589"/>
    </row>
    <row r="190" spans="1:1">
      <c r="A190" s="589"/>
    </row>
    <row r="191" spans="1:1">
      <c r="A191" s="589"/>
    </row>
    <row r="192" spans="1:1">
      <c r="A192" s="589"/>
    </row>
    <row r="193" spans="1:1">
      <c r="A193" s="589"/>
    </row>
    <row r="194" spans="1:1">
      <c r="A194" s="589"/>
    </row>
    <row r="195" spans="1:1">
      <c r="A195" s="589"/>
    </row>
    <row r="196" spans="1:1">
      <c r="A196" s="589"/>
    </row>
    <row r="197" spans="1:1">
      <c r="A197" s="589"/>
    </row>
    <row r="198" spans="1:1">
      <c r="A198" s="589"/>
    </row>
    <row r="199" spans="1:1">
      <c r="A199" s="589"/>
    </row>
    <row r="200" spans="1:1">
      <c r="A200" s="589"/>
    </row>
    <row r="201" spans="1:1">
      <c r="A201" s="589"/>
    </row>
    <row r="202" spans="1:1">
      <c r="A202" s="589"/>
    </row>
    <row r="203" spans="1:1">
      <c r="A203" s="589"/>
    </row>
    <row r="204" spans="1:1">
      <c r="A204" s="589"/>
    </row>
    <row r="205" spans="1:1">
      <c r="A205" s="589"/>
    </row>
    <row r="206" spans="1:1">
      <c r="A206" s="589"/>
    </row>
    <row r="207" spans="1:1">
      <c r="A207" s="589"/>
    </row>
    <row r="208" spans="1:1">
      <c r="A208" s="589"/>
    </row>
    <row r="209" spans="1:1">
      <c r="A209" s="589"/>
    </row>
    <row r="210" spans="1:1">
      <c r="A210" s="589"/>
    </row>
    <row r="211" spans="1:1">
      <c r="A211" s="589"/>
    </row>
    <row r="212" spans="1:1">
      <c r="A212" s="589"/>
    </row>
    <row r="213" spans="1:1">
      <c r="A213" s="589"/>
    </row>
    <row r="214" spans="1:1">
      <c r="A214" s="589"/>
    </row>
    <row r="215" spans="1:1">
      <c r="A215" s="589"/>
    </row>
    <row r="216" spans="1:1">
      <c r="A216" s="589"/>
    </row>
    <row r="217" spans="1:1">
      <c r="A217" s="589"/>
    </row>
    <row r="218" spans="1:1">
      <c r="A218" s="589"/>
    </row>
    <row r="219" spans="1:1">
      <c r="A219" s="589"/>
    </row>
    <row r="220" spans="1:1">
      <c r="A220" s="589"/>
    </row>
    <row r="221" spans="1:1">
      <c r="A221" s="589"/>
    </row>
    <row r="222" spans="1:1">
      <c r="A222" s="589"/>
    </row>
    <row r="223" spans="1:1">
      <c r="A223" s="589"/>
    </row>
    <row r="224" spans="1:1">
      <c r="A224" s="589"/>
    </row>
    <row r="225" spans="1:1">
      <c r="A225" s="589"/>
    </row>
    <row r="226" spans="1:1">
      <c r="A226" s="589"/>
    </row>
    <row r="227" spans="1:1">
      <c r="A227" s="589"/>
    </row>
    <row r="228" spans="1:1">
      <c r="A228" s="589"/>
    </row>
    <row r="229" spans="1:1">
      <c r="A229" s="589"/>
    </row>
    <row r="230" spans="1:1">
      <c r="A230" s="589"/>
    </row>
    <row r="231" spans="1:1">
      <c r="A231" s="589"/>
    </row>
    <row r="232" spans="1:1">
      <c r="A232" s="589"/>
    </row>
    <row r="233" spans="1:1">
      <c r="A233" s="589"/>
    </row>
    <row r="234" spans="1:1">
      <c r="A234" s="589"/>
    </row>
    <row r="235" spans="1:1">
      <c r="A235" s="589"/>
    </row>
    <row r="236" spans="1:1">
      <c r="A236" s="589"/>
    </row>
    <row r="237" spans="1:1">
      <c r="A237" s="589"/>
    </row>
    <row r="238" spans="1:1">
      <c r="A238" s="589"/>
    </row>
    <row r="239" spans="1:1">
      <c r="A239" s="589"/>
    </row>
    <row r="240" spans="1:1">
      <c r="A240" s="589"/>
    </row>
    <row r="241" spans="1:1">
      <c r="A241" s="589"/>
    </row>
    <row r="242" spans="1:1">
      <c r="A242" s="589"/>
    </row>
    <row r="243" spans="1:1">
      <c r="A243" s="589"/>
    </row>
    <row r="244" spans="1:1">
      <c r="A244" s="589"/>
    </row>
    <row r="245" spans="1:1">
      <c r="A245" s="589"/>
    </row>
    <row r="246" spans="1:1">
      <c r="A246" s="589"/>
    </row>
    <row r="247" spans="1:1">
      <c r="A247" s="589"/>
    </row>
    <row r="248" spans="1:1">
      <c r="A248" s="589"/>
    </row>
    <row r="249" spans="1:1">
      <c r="A249" s="589"/>
    </row>
    <row r="250" spans="1:1">
      <c r="A250" s="589"/>
    </row>
    <row r="251" spans="1:1">
      <c r="A251" s="589"/>
    </row>
    <row r="252" spans="1:1">
      <c r="A252" s="589"/>
    </row>
    <row r="253" spans="1:1">
      <c r="A253" s="589"/>
    </row>
    <row r="254" spans="1:1">
      <c r="A254" s="589"/>
    </row>
    <row r="255" spans="1:1">
      <c r="A255" s="589"/>
    </row>
    <row r="256" spans="1:1">
      <c r="A256" s="589"/>
    </row>
    <row r="257" spans="1:1">
      <c r="A257" s="589"/>
    </row>
    <row r="258" spans="1:1">
      <c r="A258" s="589"/>
    </row>
    <row r="259" spans="1:1">
      <c r="A259" s="589"/>
    </row>
    <row r="260" spans="1:1">
      <c r="A260" s="589"/>
    </row>
    <row r="261" spans="1:1">
      <c r="A261" s="589"/>
    </row>
    <row r="262" spans="1:1">
      <c r="A262" s="589"/>
    </row>
    <row r="263" spans="1:1">
      <c r="A263" s="589"/>
    </row>
    <row r="264" spans="1:1">
      <c r="A264" s="589"/>
    </row>
    <row r="265" spans="1:1">
      <c r="A265" s="589"/>
    </row>
    <row r="266" spans="1:1">
      <c r="A266" s="589"/>
    </row>
    <row r="267" spans="1:1">
      <c r="A267" s="589"/>
    </row>
    <row r="268" spans="1:1">
      <c r="A268" s="589"/>
    </row>
    <row r="269" spans="1:1">
      <c r="A269" s="589"/>
    </row>
    <row r="270" spans="1:1">
      <c r="A270" s="589"/>
    </row>
    <row r="271" spans="1:1">
      <c r="A271" s="589"/>
    </row>
    <row r="272" spans="1:1">
      <c r="A272" s="589"/>
    </row>
    <row r="273" spans="1:1">
      <c r="A273" s="589"/>
    </row>
    <row r="274" spans="1:1">
      <c r="A274" s="589"/>
    </row>
    <row r="275" spans="1:1">
      <c r="A275" s="589"/>
    </row>
    <row r="276" spans="1:1">
      <c r="A276" s="589"/>
    </row>
    <row r="277" spans="1:1">
      <c r="A277" s="589"/>
    </row>
    <row r="278" spans="1:1">
      <c r="A278" s="589"/>
    </row>
    <row r="279" spans="1:1">
      <c r="A279" s="589"/>
    </row>
    <row r="280" spans="1:1">
      <c r="A280" s="589"/>
    </row>
    <row r="281" spans="1:1">
      <c r="A281" s="589"/>
    </row>
    <row r="282" spans="1:1">
      <c r="A282" s="589"/>
    </row>
    <row r="283" spans="1:1">
      <c r="A283" s="589"/>
    </row>
    <row r="284" spans="1:1">
      <c r="A284" s="589"/>
    </row>
    <row r="285" spans="1:1">
      <c r="A285" s="589"/>
    </row>
    <row r="286" spans="1:1">
      <c r="A286" s="589"/>
    </row>
    <row r="287" spans="1:1">
      <c r="A287" s="589"/>
    </row>
    <row r="288" spans="1:1">
      <c r="A288" s="589"/>
    </row>
    <row r="289" spans="1:1">
      <c r="A289" s="589"/>
    </row>
    <row r="290" spans="1:1">
      <c r="A290" s="589"/>
    </row>
    <row r="291" spans="1:1">
      <c r="A291" s="589"/>
    </row>
    <row r="292" spans="1:1">
      <c r="A292" s="589"/>
    </row>
    <row r="293" spans="1:1">
      <c r="A293" s="589"/>
    </row>
    <row r="294" spans="1:1">
      <c r="A294" s="589"/>
    </row>
    <row r="295" spans="1:1">
      <c r="A295" s="589"/>
    </row>
    <row r="296" spans="1:1">
      <c r="A296" s="589"/>
    </row>
    <row r="297" spans="1:1">
      <c r="A297" s="589"/>
    </row>
    <row r="298" spans="1:1">
      <c r="A298" s="589"/>
    </row>
    <row r="299" spans="1:1">
      <c r="A299" s="589"/>
    </row>
    <row r="300" spans="1:1">
      <c r="A300" s="589"/>
    </row>
    <row r="301" spans="1:1">
      <c r="A301" s="589"/>
    </row>
    <row r="302" spans="1:1">
      <c r="A302" s="589"/>
    </row>
    <row r="303" spans="1:1">
      <c r="A303" s="589"/>
    </row>
    <row r="304" spans="1:1">
      <c r="A304" s="589"/>
    </row>
    <row r="305" spans="1:1">
      <c r="A305" s="589"/>
    </row>
    <row r="306" spans="1:1">
      <c r="A306" s="589"/>
    </row>
    <row r="307" spans="1:1">
      <c r="A307" s="589"/>
    </row>
    <row r="308" spans="1:1">
      <c r="A308" s="589"/>
    </row>
    <row r="309" spans="1:1">
      <c r="A309" s="589"/>
    </row>
    <row r="310" spans="1:1">
      <c r="A310" s="589"/>
    </row>
    <row r="311" spans="1:1">
      <c r="A311" s="589"/>
    </row>
    <row r="312" spans="1:1">
      <c r="A312" s="589"/>
    </row>
    <row r="313" spans="1:1">
      <c r="A313" s="589"/>
    </row>
    <row r="314" spans="1:1">
      <c r="A314" s="589"/>
    </row>
    <row r="315" spans="1:1">
      <c r="A315" s="589"/>
    </row>
    <row r="316" spans="1:1">
      <c r="A316" s="589"/>
    </row>
    <row r="317" spans="1:1">
      <c r="A317" s="589"/>
    </row>
    <row r="318" spans="1:1">
      <c r="A318" s="589"/>
    </row>
    <row r="319" spans="1:1">
      <c r="A319" s="589"/>
    </row>
    <row r="320" spans="1:1">
      <c r="A320" s="589"/>
    </row>
    <row r="321" spans="1:1">
      <c r="A321" s="589"/>
    </row>
    <row r="322" spans="1:1">
      <c r="A322" s="589"/>
    </row>
    <row r="323" spans="1:1">
      <c r="A323" s="589"/>
    </row>
    <row r="324" spans="1:1">
      <c r="A324" s="589"/>
    </row>
    <row r="325" spans="1:1">
      <c r="A325" s="589"/>
    </row>
    <row r="326" spans="1:1">
      <c r="A326" s="589"/>
    </row>
    <row r="327" spans="1:1">
      <c r="A327" s="589"/>
    </row>
    <row r="328" spans="1:1">
      <c r="A328" s="589"/>
    </row>
    <row r="329" spans="1:1">
      <c r="A329" s="589"/>
    </row>
    <row r="330" spans="1:1">
      <c r="A330" s="589"/>
    </row>
    <row r="331" spans="1:1">
      <c r="A331" s="589"/>
    </row>
    <row r="332" spans="1:1">
      <c r="A332" s="589"/>
    </row>
    <row r="333" spans="1:1">
      <c r="A333" s="589"/>
    </row>
    <row r="334" spans="1:1">
      <c r="A334" s="589"/>
    </row>
    <row r="335" spans="1:1">
      <c r="A335" s="589"/>
    </row>
    <row r="336" spans="1:1">
      <c r="A336" s="589"/>
    </row>
    <row r="337" spans="1:1">
      <c r="A337" s="589"/>
    </row>
    <row r="338" spans="1:1">
      <c r="A338" s="589"/>
    </row>
    <row r="339" spans="1:1">
      <c r="A339" s="589"/>
    </row>
    <row r="340" spans="1:1">
      <c r="A340" s="589"/>
    </row>
    <row r="341" spans="1:1">
      <c r="A341" s="589"/>
    </row>
    <row r="342" spans="1:1">
      <c r="A342" s="589"/>
    </row>
    <row r="343" spans="1:1">
      <c r="A343" s="589"/>
    </row>
    <row r="344" spans="1:1">
      <c r="A344" s="589"/>
    </row>
    <row r="345" spans="1:1">
      <c r="A345" s="589"/>
    </row>
    <row r="346" spans="1:1">
      <c r="A346" s="589"/>
    </row>
    <row r="347" spans="1:1">
      <c r="A347" s="589"/>
    </row>
    <row r="348" spans="1:1">
      <c r="A348" s="589"/>
    </row>
    <row r="349" spans="1:1">
      <c r="A349" s="589"/>
    </row>
    <row r="350" spans="1:1">
      <c r="A350" s="589"/>
    </row>
    <row r="351" spans="1:1">
      <c r="A351" s="589"/>
    </row>
    <row r="352" spans="1:1">
      <c r="A352" s="589"/>
    </row>
    <row r="353" spans="1:1">
      <c r="A353" s="589"/>
    </row>
    <row r="354" spans="1:1">
      <c r="A354" s="589"/>
    </row>
    <row r="355" spans="1:1">
      <c r="A355" s="589"/>
    </row>
    <row r="356" spans="1:1">
      <c r="A356" s="589"/>
    </row>
    <row r="357" spans="1:1">
      <c r="A357" s="589"/>
    </row>
    <row r="358" spans="1:1">
      <c r="A358" s="589"/>
    </row>
    <row r="359" spans="1:1">
      <c r="A359" s="589"/>
    </row>
    <row r="360" spans="1:1">
      <c r="A360" s="589"/>
    </row>
    <row r="361" spans="1:1">
      <c r="A361" s="589"/>
    </row>
    <row r="362" spans="1:1">
      <c r="A362" s="589"/>
    </row>
    <row r="363" spans="1:1">
      <c r="A363" s="589"/>
    </row>
    <row r="364" spans="1:1">
      <c r="A364" s="589"/>
    </row>
    <row r="365" spans="1:1">
      <c r="A365" s="589"/>
    </row>
    <row r="366" spans="1:1">
      <c r="A366" s="589"/>
    </row>
    <row r="367" spans="1:1">
      <c r="A367" s="589"/>
    </row>
    <row r="368" spans="1:1">
      <c r="A368" s="589"/>
    </row>
    <row r="369" spans="1:1">
      <c r="A369" s="589"/>
    </row>
    <row r="370" spans="1:1">
      <c r="A370" s="589"/>
    </row>
    <row r="371" spans="1:1">
      <c r="A371" s="589"/>
    </row>
    <row r="372" spans="1:1">
      <c r="A372" s="589"/>
    </row>
    <row r="373" spans="1:1">
      <c r="A373" s="589"/>
    </row>
    <row r="374" spans="1:1">
      <c r="A374" s="589"/>
    </row>
    <row r="375" spans="1:1">
      <c r="A375" s="589"/>
    </row>
    <row r="376" spans="1:1">
      <c r="A376" s="589"/>
    </row>
    <row r="377" spans="1:1">
      <c r="A377" s="589"/>
    </row>
    <row r="378" spans="1:1">
      <c r="A378" s="589"/>
    </row>
    <row r="379" spans="1:1">
      <c r="A379" s="589"/>
    </row>
    <row r="380" spans="1:1">
      <c r="A380" s="589"/>
    </row>
    <row r="381" spans="1:1">
      <c r="A381" s="589"/>
    </row>
    <row r="382" spans="1:1">
      <c r="A382" s="589"/>
    </row>
    <row r="383" spans="1:1">
      <c r="A383" s="589"/>
    </row>
    <row r="384" spans="1:1">
      <c r="A384" s="589"/>
    </row>
    <row r="385" spans="1:1">
      <c r="A385" s="589"/>
    </row>
    <row r="386" spans="1:1">
      <c r="A386" s="589"/>
    </row>
    <row r="387" spans="1:1">
      <c r="A387" s="589"/>
    </row>
    <row r="388" spans="1:1">
      <c r="A388" s="589"/>
    </row>
    <row r="389" spans="1:1">
      <c r="A389" s="589"/>
    </row>
    <row r="390" spans="1:1">
      <c r="A390" s="589"/>
    </row>
    <row r="391" spans="1:1">
      <c r="A391" s="589"/>
    </row>
    <row r="392" spans="1:1">
      <c r="A392" s="589"/>
    </row>
    <row r="393" spans="1:1">
      <c r="A393" s="589"/>
    </row>
    <row r="394" spans="1:1">
      <c r="A394" s="589"/>
    </row>
    <row r="395" spans="1:1">
      <c r="A395" s="589"/>
    </row>
    <row r="396" spans="1:1">
      <c r="A396" s="589"/>
    </row>
    <row r="397" spans="1:1">
      <c r="A397" s="589"/>
    </row>
    <row r="398" spans="1:1">
      <c r="A398" s="589"/>
    </row>
    <row r="399" spans="1:1">
      <c r="A399" s="589"/>
    </row>
    <row r="400" spans="1:1">
      <c r="A400" s="589"/>
    </row>
    <row r="401" spans="1:1">
      <c r="A401" s="589"/>
    </row>
    <row r="402" spans="1:1">
      <c r="A402" s="589"/>
    </row>
    <row r="403" spans="1:1">
      <c r="A403" s="589"/>
    </row>
    <row r="404" spans="1:1">
      <c r="A404" s="589"/>
    </row>
    <row r="405" spans="1:1">
      <c r="A405" s="589"/>
    </row>
    <row r="406" spans="1:1">
      <c r="A406" s="589"/>
    </row>
    <row r="407" spans="1:1">
      <c r="A407" s="589"/>
    </row>
    <row r="408" spans="1:1">
      <c r="A408" s="589"/>
    </row>
    <row r="409" spans="1:1">
      <c r="A409" s="589"/>
    </row>
    <row r="410" spans="1:1">
      <c r="A410" s="589"/>
    </row>
    <row r="411" spans="1:1">
      <c r="A411" s="589"/>
    </row>
    <row r="412" spans="1:1">
      <c r="A412" s="589"/>
    </row>
    <row r="413" spans="1:1">
      <c r="A413" s="589"/>
    </row>
    <row r="414" spans="1:1">
      <c r="A414" s="589"/>
    </row>
    <row r="415" spans="1:1">
      <c r="A415" s="589"/>
    </row>
    <row r="416" spans="1:1">
      <c r="A416" s="589"/>
    </row>
    <row r="417" spans="1:1">
      <c r="A417" s="589"/>
    </row>
    <row r="418" spans="1:1">
      <c r="A418" s="589"/>
    </row>
    <row r="419" spans="1:1">
      <c r="A419" s="589"/>
    </row>
    <row r="420" spans="1:1">
      <c r="A420" s="589"/>
    </row>
    <row r="421" spans="1:1">
      <c r="A421" s="589"/>
    </row>
    <row r="422" spans="1:1">
      <c r="A422" s="589"/>
    </row>
    <row r="423" spans="1:1">
      <c r="A423" s="589"/>
    </row>
    <row r="424" spans="1:1">
      <c r="A424" s="589"/>
    </row>
    <row r="425" spans="1:1">
      <c r="A425" s="589"/>
    </row>
    <row r="426" spans="1:1">
      <c r="A426" s="589"/>
    </row>
    <row r="427" spans="1:1">
      <c r="A427" s="589"/>
    </row>
    <row r="428" spans="1:1">
      <c r="A428" s="589"/>
    </row>
    <row r="429" spans="1:1">
      <c r="A429" s="589"/>
    </row>
    <row r="430" spans="1:1">
      <c r="A430" s="589"/>
    </row>
    <row r="431" spans="1:1">
      <c r="A431" s="589"/>
    </row>
    <row r="432" spans="1:1">
      <c r="A432" s="589"/>
    </row>
    <row r="433" spans="1:1">
      <c r="A433" s="589"/>
    </row>
    <row r="434" spans="1:1">
      <c r="A434" s="589"/>
    </row>
    <row r="435" spans="1:1">
      <c r="A435" s="589"/>
    </row>
    <row r="436" spans="1:1">
      <c r="A436" s="589"/>
    </row>
    <row r="437" spans="1:1">
      <c r="A437" s="589"/>
    </row>
    <row r="438" spans="1:1">
      <c r="A438" s="589"/>
    </row>
    <row r="439" spans="1:1">
      <c r="A439" s="589"/>
    </row>
    <row r="440" spans="1:1">
      <c r="A440" s="589"/>
    </row>
    <row r="441" spans="1:1">
      <c r="A441" s="589"/>
    </row>
    <row r="442" spans="1:1">
      <c r="A442" s="589"/>
    </row>
    <row r="443" spans="1:1">
      <c r="A443" s="589"/>
    </row>
    <row r="444" spans="1:1">
      <c r="A444" s="589"/>
    </row>
    <row r="445" spans="1:1">
      <c r="A445" s="589"/>
    </row>
    <row r="446" spans="1:1">
      <c r="A446" s="589"/>
    </row>
    <row r="447" spans="1:1">
      <c r="A447" s="589"/>
    </row>
    <row r="448" spans="1:1">
      <c r="A448" s="589"/>
    </row>
    <row r="449" spans="1:1">
      <c r="A449" s="589"/>
    </row>
    <row r="450" spans="1:1">
      <c r="A450" s="589"/>
    </row>
    <row r="451" spans="1:1">
      <c r="A451" s="589"/>
    </row>
    <row r="452" spans="1:1">
      <c r="A452" s="589"/>
    </row>
    <row r="453" spans="1:1">
      <c r="A453" s="589"/>
    </row>
    <row r="454" spans="1:1">
      <c r="A454" s="589"/>
    </row>
    <row r="455" spans="1:1">
      <c r="A455" s="589"/>
    </row>
    <row r="456" spans="1:1">
      <c r="A456" s="589"/>
    </row>
    <row r="457" spans="1:1">
      <c r="A457" s="589"/>
    </row>
    <row r="458" spans="1:1">
      <c r="A458" s="589"/>
    </row>
    <row r="459" spans="1:1">
      <c r="A459" s="589"/>
    </row>
    <row r="460" spans="1:1">
      <c r="A460" s="589"/>
    </row>
    <row r="461" spans="1:1">
      <c r="A461" s="589"/>
    </row>
    <row r="462" spans="1:1">
      <c r="A462" s="589"/>
    </row>
    <row r="463" spans="1:1">
      <c r="A463" s="589"/>
    </row>
    <row r="464" spans="1:1">
      <c r="A464" s="589"/>
    </row>
    <row r="465" spans="1:1">
      <c r="A465" s="589"/>
    </row>
    <row r="466" spans="1:1">
      <c r="A466" s="589"/>
    </row>
    <row r="467" spans="1:1">
      <c r="A467" s="589"/>
    </row>
    <row r="468" spans="1:1">
      <c r="A468" s="589"/>
    </row>
    <row r="469" spans="1:1">
      <c r="A469" s="589"/>
    </row>
    <row r="470" spans="1:1">
      <c r="A470" s="589"/>
    </row>
    <row r="471" spans="1:1">
      <c r="A471" s="589"/>
    </row>
    <row r="472" spans="1:1">
      <c r="A472" s="589"/>
    </row>
    <row r="473" spans="1:1">
      <c r="A473" s="589"/>
    </row>
    <row r="474" spans="1:1">
      <c r="A474" s="589"/>
    </row>
  </sheetData>
  <mergeCells count="15">
    <mergeCell ref="A83:D83"/>
    <mergeCell ref="B92:D92"/>
    <mergeCell ref="E92:G92"/>
    <mergeCell ref="H92:J92"/>
    <mergeCell ref="A6:L6"/>
    <mergeCell ref="A8:A10"/>
    <mergeCell ref="B8:B10"/>
    <mergeCell ref="C8:C10"/>
    <mergeCell ref="D8:D10"/>
    <mergeCell ref="E8:H8"/>
    <mergeCell ref="I8:L8"/>
    <mergeCell ref="E9:E10"/>
    <mergeCell ref="F9:H9"/>
    <mergeCell ref="I9:I10"/>
    <mergeCell ref="J9:L9"/>
  </mergeCells>
  <pageMargins left="0.51181102362204722" right="0.31496062992125984" top="0.35433070866141736" bottom="0.35433070866141736" header="0" footer="0"/>
  <pageSetup paperSize="9" scale="60" orientation="landscape" r:id="rId1"/>
</worksheet>
</file>

<file path=xl/worksheets/sheet14.xml><?xml version="1.0" encoding="utf-8"?>
<worksheet xmlns="http://schemas.openxmlformats.org/spreadsheetml/2006/main" xmlns:r="http://schemas.openxmlformats.org/officeDocument/2006/relationships">
  <dimension ref="A1:X609"/>
  <sheetViews>
    <sheetView topLeftCell="A169" zoomScale="90" zoomScaleNormal="90" workbookViewId="0">
      <selection activeCell="D177" sqref="D177"/>
    </sheetView>
  </sheetViews>
  <sheetFormatPr defaultRowHeight="15.75"/>
  <cols>
    <col min="1" max="1" width="6.42578125" style="240" customWidth="1"/>
    <col min="2" max="2" width="49.28515625" style="237" customWidth="1"/>
    <col min="3" max="3" width="16.7109375" style="415" customWidth="1"/>
    <col min="4" max="4" width="15.5703125" style="415" customWidth="1"/>
    <col min="5" max="5" width="21.85546875" style="238" customWidth="1"/>
    <col min="6" max="6" width="13.85546875" style="239" customWidth="1"/>
    <col min="7" max="7" width="43.7109375" style="125" customWidth="1"/>
    <col min="8" max="8" width="21.7109375" style="319" customWidth="1"/>
    <col min="9" max="9" width="11.5703125" style="124" customWidth="1"/>
    <col min="10" max="10" width="23.7109375" style="124" customWidth="1"/>
    <col min="11" max="11" width="28.7109375" style="124" customWidth="1"/>
    <col min="12" max="12" width="15.7109375" style="124" customWidth="1"/>
    <col min="13" max="13" width="31.7109375" style="124" customWidth="1"/>
    <col min="14" max="24" width="9.140625" style="124"/>
    <col min="25" max="16384" width="9.140625" style="125"/>
  </cols>
  <sheetData>
    <row r="1" spans="1:24">
      <c r="A1" s="413"/>
      <c r="B1" s="414"/>
      <c r="E1" s="415"/>
      <c r="F1" s="416"/>
      <c r="G1" s="341"/>
    </row>
    <row r="2" spans="1:24">
      <c r="A2" s="413"/>
      <c r="B2" s="414"/>
      <c r="E2" s="415"/>
      <c r="F2" s="416"/>
      <c r="G2" s="341" t="s">
        <v>614</v>
      </c>
    </row>
    <row r="3" spans="1:24">
      <c r="A3" s="413"/>
      <c r="B3" s="414"/>
      <c r="E3" s="415"/>
      <c r="F3" s="416"/>
      <c r="G3" s="341" t="s">
        <v>610</v>
      </c>
    </row>
    <row r="4" spans="1:24">
      <c r="A4" s="413"/>
      <c r="B4" s="414"/>
      <c r="E4" s="415"/>
      <c r="F4" s="416"/>
      <c r="G4" s="341" t="s">
        <v>611</v>
      </c>
    </row>
    <row r="5" spans="1:24">
      <c r="A5" s="413"/>
      <c r="B5" s="414"/>
      <c r="E5" s="415"/>
      <c r="F5" s="416"/>
      <c r="G5" s="341" t="s">
        <v>612</v>
      </c>
    </row>
    <row r="6" spans="1:24">
      <c r="A6" s="413"/>
      <c r="B6" s="414"/>
      <c r="E6" s="415"/>
      <c r="F6" s="416"/>
      <c r="G6" s="341"/>
    </row>
    <row r="7" spans="1:24">
      <c r="A7" s="413"/>
      <c r="B7" s="414"/>
      <c r="E7" s="415"/>
      <c r="F7" s="416"/>
      <c r="G7" s="341"/>
    </row>
    <row r="8" spans="1:24">
      <c r="A8" s="1065" t="s">
        <v>187</v>
      </c>
      <c r="B8" s="1065"/>
      <c r="C8" s="1065"/>
      <c r="D8" s="1065"/>
      <c r="E8" s="1065"/>
      <c r="F8" s="1065"/>
      <c r="G8" s="1065"/>
    </row>
    <row r="9" spans="1:24">
      <c r="A9" s="1065" t="s">
        <v>615</v>
      </c>
      <c r="B9" s="1065"/>
      <c r="C9" s="1065"/>
      <c r="D9" s="1065"/>
      <c r="E9" s="1065"/>
      <c r="F9" s="1065"/>
      <c r="G9" s="1065"/>
    </row>
    <row r="10" spans="1:24">
      <c r="A10" s="413"/>
      <c r="B10" s="414"/>
      <c r="E10" s="415"/>
      <c r="F10" s="416"/>
      <c r="G10" s="341"/>
    </row>
    <row r="11" spans="1:24" s="126" customFormat="1">
      <c r="A11" s="1025" t="s">
        <v>26</v>
      </c>
      <c r="B11" s="1026" t="s">
        <v>188</v>
      </c>
      <c r="C11" s="1066" t="s">
        <v>189</v>
      </c>
      <c r="D11" s="1066"/>
      <c r="E11" s="1026" t="s">
        <v>190</v>
      </c>
      <c r="F11" s="1027" t="s">
        <v>191</v>
      </c>
      <c r="G11" s="1026" t="s">
        <v>192</v>
      </c>
      <c r="H11" s="319"/>
      <c r="I11" s="124"/>
      <c r="J11" s="124"/>
      <c r="K11" s="124"/>
      <c r="L11" s="124"/>
      <c r="M11" s="124"/>
      <c r="N11" s="124"/>
      <c r="O11" s="124"/>
      <c r="P11" s="124"/>
      <c r="Q11" s="124"/>
      <c r="R11" s="124"/>
      <c r="S11" s="124"/>
      <c r="T11" s="124"/>
      <c r="U11" s="124"/>
      <c r="V11" s="124"/>
      <c r="W11" s="124"/>
      <c r="X11" s="124"/>
    </row>
    <row r="12" spans="1:24" s="126" customFormat="1">
      <c r="A12" s="1025"/>
      <c r="B12" s="1026"/>
      <c r="C12" s="380" t="s">
        <v>193</v>
      </c>
      <c r="D12" s="380" t="s">
        <v>194</v>
      </c>
      <c r="E12" s="1026"/>
      <c r="F12" s="1027"/>
      <c r="G12" s="1026"/>
      <c r="H12" s="319"/>
      <c r="I12" s="124"/>
      <c r="J12" s="124"/>
      <c r="K12" s="124"/>
      <c r="L12" s="124"/>
      <c r="M12" s="124"/>
      <c r="N12" s="124"/>
      <c r="O12" s="124"/>
      <c r="P12" s="124"/>
      <c r="Q12" s="124"/>
      <c r="R12" s="124"/>
      <c r="S12" s="124"/>
      <c r="T12" s="124"/>
      <c r="U12" s="124"/>
      <c r="V12" s="124"/>
      <c r="W12" s="124"/>
      <c r="X12" s="124"/>
    </row>
    <row r="13" spans="1:24" s="126" customFormat="1">
      <c r="A13" s="690" t="s">
        <v>28</v>
      </c>
      <c r="B13" s="691">
        <v>2</v>
      </c>
      <c r="C13" s="379" t="s">
        <v>103</v>
      </c>
      <c r="D13" s="380">
        <v>4</v>
      </c>
      <c r="E13" s="690" t="s">
        <v>155</v>
      </c>
      <c r="F13" s="692">
        <v>6</v>
      </c>
      <c r="G13" s="690" t="s">
        <v>29</v>
      </c>
      <c r="H13" s="319"/>
      <c r="I13" s="124"/>
      <c r="J13" s="124"/>
      <c r="K13" s="124"/>
      <c r="L13" s="124"/>
      <c r="M13" s="124"/>
      <c r="N13" s="124"/>
      <c r="O13" s="124"/>
      <c r="P13" s="124"/>
      <c r="Q13" s="124"/>
      <c r="R13" s="124"/>
      <c r="S13" s="124"/>
      <c r="T13" s="124"/>
      <c r="U13" s="124"/>
      <c r="V13" s="124"/>
      <c r="W13" s="124"/>
      <c r="X13" s="124"/>
    </row>
    <row r="14" spans="1:24" ht="19.5" customHeight="1">
      <c r="A14" s="190">
        <v>1</v>
      </c>
      <c r="B14" s="1028" t="s">
        <v>48</v>
      </c>
      <c r="C14" s="1028"/>
      <c r="D14" s="1028"/>
      <c r="E14" s="1028"/>
      <c r="F14" s="1028"/>
      <c r="G14" s="1028"/>
    </row>
    <row r="15" spans="1:24" ht="57.75" customHeight="1">
      <c r="A15" s="197" t="s">
        <v>46</v>
      </c>
      <c r="B15" s="1013" t="s">
        <v>195</v>
      </c>
      <c r="C15" s="1014"/>
      <c r="D15" s="1014"/>
      <c r="E15" s="1014"/>
      <c r="F15" s="1014"/>
      <c r="G15" s="1014"/>
    </row>
    <row r="16" spans="1:24" s="341" customFormat="1" ht="47.25">
      <c r="A16" s="554"/>
      <c r="B16" s="763" t="s">
        <v>196</v>
      </c>
      <c r="C16" s="707">
        <f>'звіт ІІІ кв'!E14</f>
        <v>12076.45</v>
      </c>
      <c r="D16" s="707">
        <f>'звіт ІІІ кв'!I14</f>
        <v>6781.08</v>
      </c>
      <c r="E16" s="707">
        <f>D16-C16</f>
        <v>-5295.3700000000008</v>
      </c>
      <c r="F16" s="712">
        <f>D16/C16*100</f>
        <v>56.151269619797205</v>
      </c>
      <c r="G16" s="764" t="s">
        <v>864</v>
      </c>
      <c r="H16" s="340"/>
      <c r="I16" s="289"/>
      <c r="J16" s="289"/>
      <c r="K16" s="289"/>
      <c r="L16" s="289"/>
      <c r="M16" s="289"/>
      <c r="N16" s="289"/>
      <c r="O16" s="289"/>
      <c r="P16" s="289"/>
      <c r="Q16" s="289"/>
      <c r="R16" s="289"/>
      <c r="S16" s="289"/>
      <c r="T16" s="289"/>
      <c r="U16" s="289"/>
      <c r="V16" s="289"/>
      <c r="W16" s="289"/>
      <c r="X16" s="289"/>
    </row>
    <row r="17" spans="1:24" s="341" customFormat="1" ht="31.5">
      <c r="A17" s="554"/>
      <c r="B17" s="763" t="s">
        <v>865</v>
      </c>
      <c r="C17" s="712">
        <v>24000</v>
      </c>
      <c r="D17" s="712">
        <v>22921</v>
      </c>
      <c r="E17" s="712">
        <f>D17-C17</f>
        <v>-1079</v>
      </c>
      <c r="F17" s="712">
        <f>D17/C17*100</f>
        <v>95.504166666666663</v>
      </c>
      <c r="G17" s="764" t="s">
        <v>825</v>
      </c>
      <c r="H17" s="555">
        <f>D17+D22+D27</f>
        <v>41685</v>
      </c>
      <c r="I17" s="289"/>
      <c r="J17" s="289"/>
      <c r="K17" s="289"/>
      <c r="L17" s="289"/>
      <c r="M17" s="289"/>
      <c r="N17" s="289"/>
      <c r="O17" s="289"/>
      <c r="P17" s="289"/>
      <c r="Q17" s="289"/>
      <c r="R17" s="289"/>
      <c r="S17" s="289"/>
      <c r="T17" s="289"/>
      <c r="U17" s="289"/>
      <c r="V17" s="289"/>
      <c r="W17" s="289"/>
      <c r="X17" s="289"/>
    </row>
    <row r="18" spans="1:24" s="341" customFormat="1" ht="47.25">
      <c r="A18" s="554"/>
      <c r="B18" s="763" t="s">
        <v>866</v>
      </c>
      <c r="C18" s="705">
        <f>C16/C17</f>
        <v>0.50318541666666672</v>
      </c>
      <c r="D18" s="705">
        <f>D16/D17</f>
        <v>0.29584573098904932</v>
      </c>
      <c r="E18" s="765">
        <f>D18-C18</f>
        <v>-0.2073396856776174</v>
      </c>
      <c r="F18" s="712">
        <f>D18/C18*100</f>
        <v>58.794575754772161</v>
      </c>
      <c r="G18" s="764" t="s">
        <v>825</v>
      </c>
      <c r="H18" s="340"/>
      <c r="I18" s="289"/>
      <c r="J18" s="289"/>
      <c r="K18" s="289"/>
      <c r="L18" s="289"/>
      <c r="M18" s="289"/>
      <c r="N18" s="289"/>
      <c r="O18" s="289"/>
      <c r="P18" s="289"/>
      <c r="Q18" s="289"/>
      <c r="R18" s="289"/>
      <c r="S18" s="289"/>
      <c r="T18" s="289"/>
      <c r="U18" s="289"/>
      <c r="V18" s="289"/>
      <c r="W18" s="289"/>
      <c r="X18" s="289"/>
    </row>
    <row r="19" spans="1:24" s="341" customFormat="1" ht="63">
      <c r="A19" s="554"/>
      <c r="B19" s="763" t="s">
        <v>867</v>
      </c>
      <c r="C19" s="765">
        <v>69.364161849710982</v>
      </c>
      <c r="D19" s="765">
        <f>D17/34600*100</f>
        <v>66.24566473988439</v>
      </c>
      <c r="E19" s="765">
        <f>D19-C19</f>
        <v>-3.1184971098265919</v>
      </c>
      <c r="F19" s="766">
        <f>D19/C19*100</f>
        <v>95.504166666666663</v>
      </c>
      <c r="G19" s="764" t="s">
        <v>825</v>
      </c>
      <c r="H19" s="340"/>
      <c r="I19" s="289"/>
      <c r="J19" s="289"/>
      <c r="K19" s="289"/>
      <c r="L19" s="289"/>
      <c r="M19" s="289"/>
      <c r="N19" s="289"/>
      <c r="O19" s="289"/>
      <c r="P19" s="289"/>
      <c r="Q19" s="289"/>
      <c r="R19" s="289"/>
      <c r="S19" s="289"/>
      <c r="T19" s="289"/>
      <c r="U19" s="289"/>
      <c r="V19" s="289"/>
      <c r="W19" s="289"/>
      <c r="X19" s="289"/>
    </row>
    <row r="20" spans="1:24" s="341" customFormat="1">
      <c r="A20" s="344"/>
      <c r="B20" s="1059" t="s">
        <v>200</v>
      </c>
      <c r="C20" s="1060"/>
      <c r="D20" s="1060"/>
      <c r="E20" s="1060"/>
      <c r="F20" s="1060"/>
      <c r="G20" s="1060"/>
      <c r="H20" s="340"/>
      <c r="I20" s="289"/>
      <c r="J20" s="289"/>
      <c r="K20" s="289"/>
      <c r="L20" s="289"/>
      <c r="M20" s="289"/>
      <c r="N20" s="289"/>
      <c r="O20" s="289"/>
      <c r="P20" s="289"/>
      <c r="Q20" s="289"/>
      <c r="R20" s="289"/>
      <c r="S20" s="289"/>
      <c r="T20" s="289"/>
      <c r="U20" s="289"/>
      <c r="V20" s="289"/>
      <c r="W20" s="289"/>
      <c r="X20" s="289"/>
    </row>
    <row r="21" spans="1:24" s="341" customFormat="1" ht="63">
      <c r="A21" s="344"/>
      <c r="B21" s="767" t="s">
        <v>196</v>
      </c>
      <c r="C21" s="707">
        <f>'звіт ІІІ кв'!H15</f>
        <v>6662.29</v>
      </c>
      <c r="D21" s="707">
        <f>'звіт ІІІ кв'!I15</f>
        <v>8002.76</v>
      </c>
      <c r="E21" s="707">
        <f>D21-C21</f>
        <v>1340.4700000000003</v>
      </c>
      <c r="F21" s="712">
        <f>D21/C21*100</f>
        <v>120.12025895000068</v>
      </c>
      <c r="G21" s="764" t="s">
        <v>868</v>
      </c>
      <c r="H21" s="340"/>
      <c r="I21" s="289"/>
      <c r="J21" s="289"/>
      <c r="K21" s="289"/>
      <c r="L21" s="289"/>
      <c r="M21" s="289"/>
      <c r="N21" s="289"/>
      <c r="O21" s="289"/>
      <c r="P21" s="289"/>
      <c r="Q21" s="289"/>
      <c r="R21" s="289"/>
      <c r="S21" s="289"/>
      <c r="T21" s="289"/>
      <c r="U21" s="289"/>
      <c r="V21" s="289"/>
      <c r="W21" s="289"/>
      <c r="X21" s="289"/>
    </row>
    <row r="22" spans="1:24" s="341" customFormat="1" ht="31.5">
      <c r="A22" s="344"/>
      <c r="B22" s="767" t="s">
        <v>869</v>
      </c>
      <c r="C22" s="712">
        <v>17700</v>
      </c>
      <c r="D22" s="712">
        <v>12949</v>
      </c>
      <c r="E22" s="712">
        <f>D22-C22</f>
        <v>-4751</v>
      </c>
      <c r="F22" s="712">
        <f>D22/C22*100</f>
        <v>73.158192090395474</v>
      </c>
      <c r="G22" s="764" t="s">
        <v>825</v>
      </c>
      <c r="H22" s="340"/>
      <c r="I22" s="289"/>
      <c r="J22" s="289"/>
      <c r="K22" s="289"/>
      <c r="L22" s="289"/>
      <c r="M22" s="289"/>
      <c r="N22" s="289"/>
      <c r="O22" s="289"/>
      <c r="P22" s="289"/>
      <c r="Q22" s="289"/>
      <c r="R22" s="289"/>
      <c r="S22" s="289"/>
      <c r="T22" s="289"/>
      <c r="U22" s="289"/>
      <c r="V22" s="289"/>
      <c r="W22" s="289"/>
      <c r="X22" s="289"/>
    </row>
    <row r="23" spans="1:24" s="341" customFormat="1" ht="47.25">
      <c r="A23" s="344"/>
      <c r="B23" s="767" t="s">
        <v>870</v>
      </c>
      <c r="C23" s="765">
        <f>C21/C22</f>
        <v>0.37640056497175139</v>
      </c>
      <c r="D23" s="765">
        <f>D21/D22</f>
        <v>0.61802146883929265</v>
      </c>
      <c r="E23" s="768">
        <f>D23-C23</f>
        <v>0.24162090386754126</v>
      </c>
      <c r="F23" s="712">
        <f>D23/C23*100</f>
        <v>164.19249234805869</v>
      </c>
      <c r="G23" s="764" t="s">
        <v>825</v>
      </c>
      <c r="H23" s="340"/>
      <c r="I23" s="289"/>
      <c r="J23" s="289"/>
      <c r="K23" s="289"/>
      <c r="L23" s="289"/>
      <c r="M23" s="289"/>
      <c r="N23" s="289"/>
      <c r="O23" s="289"/>
      <c r="P23" s="289"/>
      <c r="Q23" s="289"/>
      <c r="R23" s="289"/>
      <c r="S23" s="289"/>
      <c r="T23" s="289"/>
      <c r="U23" s="289"/>
      <c r="V23" s="289"/>
      <c r="W23" s="289"/>
      <c r="X23" s="289"/>
    </row>
    <row r="24" spans="1:24" s="341" customFormat="1" ht="63">
      <c r="A24" s="344"/>
      <c r="B24" s="767" t="s">
        <v>871</v>
      </c>
      <c r="C24" s="705">
        <v>53.153153153153156</v>
      </c>
      <c r="D24" s="765">
        <f>D22/33300*100</f>
        <v>38.885885885885884</v>
      </c>
      <c r="E24" s="765">
        <f>D24-C24</f>
        <v>-14.267267267267272</v>
      </c>
      <c r="F24" s="712">
        <f>D24/C24*100</f>
        <v>73.158192090395474</v>
      </c>
      <c r="G24" s="764" t="s">
        <v>825</v>
      </c>
      <c r="H24" s="340"/>
      <c r="I24" s="289"/>
      <c r="J24" s="289"/>
      <c r="K24" s="289"/>
      <c r="L24" s="289"/>
      <c r="M24" s="289"/>
      <c r="N24" s="289"/>
      <c r="O24" s="289"/>
      <c r="P24" s="289"/>
      <c r="Q24" s="289"/>
      <c r="R24" s="289"/>
      <c r="S24" s="289"/>
      <c r="T24" s="289"/>
      <c r="U24" s="289"/>
      <c r="V24" s="289"/>
      <c r="W24" s="289"/>
      <c r="X24" s="289"/>
    </row>
    <row r="25" spans="1:24" s="341" customFormat="1">
      <c r="A25" s="344"/>
      <c r="B25" s="1050" t="s">
        <v>52</v>
      </c>
      <c r="C25" s="1050"/>
      <c r="D25" s="1050"/>
      <c r="E25" s="1050"/>
      <c r="F25" s="1050"/>
      <c r="G25" s="1051"/>
      <c r="H25" s="340"/>
      <c r="I25" s="289"/>
      <c r="J25" s="289"/>
      <c r="K25" s="289"/>
      <c r="L25" s="289"/>
      <c r="M25" s="289"/>
      <c r="N25" s="289"/>
      <c r="O25" s="289"/>
      <c r="P25" s="289"/>
      <c r="Q25" s="289"/>
      <c r="R25" s="289"/>
      <c r="S25" s="289"/>
      <c r="T25" s="289"/>
      <c r="U25" s="289"/>
      <c r="V25" s="289"/>
      <c r="W25" s="289"/>
      <c r="X25" s="289"/>
    </row>
    <row r="26" spans="1:24" s="341" customFormat="1" ht="31.5">
      <c r="A26" s="344"/>
      <c r="B26" s="767" t="s">
        <v>196</v>
      </c>
      <c r="C26" s="707">
        <f>'звіт ІІІ кв'!E16</f>
        <v>4269.24</v>
      </c>
      <c r="D26" s="707">
        <f>'звіт ІІІ кв'!I16</f>
        <v>2353.86</v>
      </c>
      <c r="E26" s="707">
        <f>D26-C26</f>
        <v>-1915.3799999999997</v>
      </c>
      <c r="F26" s="712">
        <f>D26/C26*100</f>
        <v>55.135340247912978</v>
      </c>
      <c r="G26" s="764" t="s">
        <v>872</v>
      </c>
      <c r="H26" s="340"/>
      <c r="I26" s="289"/>
      <c r="J26" s="289"/>
      <c r="K26" s="289"/>
      <c r="L26" s="289"/>
      <c r="M26" s="289"/>
      <c r="N26" s="289"/>
      <c r="O26" s="289"/>
      <c r="P26" s="289"/>
      <c r="Q26" s="289"/>
      <c r="R26" s="289"/>
      <c r="S26" s="289"/>
      <c r="T26" s="289"/>
      <c r="U26" s="289"/>
      <c r="V26" s="289"/>
      <c r="W26" s="289"/>
      <c r="X26" s="289"/>
    </row>
    <row r="27" spans="1:24" s="341" customFormat="1" ht="31.5">
      <c r="A27" s="344"/>
      <c r="B27" s="767" t="s">
        <v>204</v>
      </c>
      <c r="C27" s="712">
        <v>6500</v>
      </c>
      <c r="D27" s="712">
        <v>5815</v>
      </c>
      <c r="E27" s="712">
        <f>D27-C27</f>
        <v>-685</v>
      </c>
      <c r="F27" s="712">
        <f>D27/C27*100</f>
        <v>89.461538461538453</v>
      </c>
      <c r="G27" s="764" t="s">
        <v>825</v>
      </c>
      <c r="H27" s="340"/>
      <c r="I27" s="289"/>
      <c r="J27" s="289"/>
      <c r="K27" s="289"/>
      <c r="L27" s="289"/>
      <c r="M27" s="289"/>
      <c r="N27" s="289"/>
      <c r="O27" s="289"/>
      <c r="P27" s="289"/>
      <c r="Q27" s="289"/>
      <c r="R27" s="289"/>
      <c r="S27" s="289"/>
      <c r="T27" s="289"/>
      <c r="U27" s="289"/>
      <c r="V27" s="289"/>
      <c r="W27" s="289"/>
      <c r="X27" s="289"/>
    </row>
    <row r="28" spans="1:24" s="341" customFormat="1" ht="47.25">
      <c r="A28" s="344"/>
      <c r="B28" s="767" t="s">
        <v>205</v>
      </c>
      <c r="C28" s="765">
        <f>C26/C27</f>
        <v>0.65680615384615382</v>
      </c>
      <c r="D28" s="765">
        <f>D26/D27</f>
        <v>0.4047910576096303</v>
      </c>
      <c r="E28" s="765">
        <f>D28-C28</f>
        <v>-0.25201509623652352</v>
      </c>
      <c r="F28" s="712">
        <f>D28/C28*100</f>
        <v>61.630216958114261</v>
      </c>
      <c r="G28" s="764" t="s">
        <v>825</v>
      </c>
      <c r="H28" s="340"/>
      <c r="I28" s="289"/>
      <c r="J28" s="289"/>
      <c r="K28" s="289"/>
      <c r="L28" s="289"/>
      <c r="M28" s="289"/>
      <c r="N28" s="289"/>
      <c r="O28" s="289"/>
      <c r="P28" s="289"/>
      <c r="Q28" s="289"/>
      <c r="R28" s="289"/>
      <c r="S28" s="289"/>
      <c r="T28" s="289"/>
      <c r="U28" s="289"/>
      <c r="V28" s="289"/>
      <c r="W28" s="289"/>
      <c r="X28" s="289"/>
    </row>
    <row r="29" spans="1:24" s="341" customFormat="1" ht="63">
      <c r="A29" s="359"/>
      <c r="B29" s="767" t="s">
        <v>206</v>
      </c>
      <c r="C29" s="705">
        <v>61.479591836734691</v>
      </c>
      <c r="D29" s="765">
        <f>D27/10500*100</f>
        <v>55.380952380952387</v>
      </c>
      <c r="E29" s="765">
        <f>D29-C29</f>
        <v>-6.0986394557823047</v>
      </c>
      <c r="F29" s="712">
        <f>D29/C29*100</f>
        <v>90.080221300138334</v>
      </c>
      <c r="G29" s="764" t="s">
        <v>825</v>
      </c>
      <c r="H29" s="340"/>
      <c r="I29" s="289"/>
      <c r="J29" s="289"/>
      <c r="K29" s="289"/>
      <c r="L29" s="289"/>
      <c r="M29" s="289"/>
      <c r="N29" s="289"/>
      <c r="O29" s="289"/>
      <c r="P29" s="289"/>
      <c r="Q29" s="289"/>
      <c r="R29" s="289"/>
      <c r="S29" s="289"/>
      <c r="T29" s="289"/>
      <c r="U29" s="289"/>
      <c r="V29" s="289"/>
      <c r="W29" s="289"/>
      <c r="X29" s="289"/>
    </row>
    <row r="30" spans="1:24" s="149" customFormat="1">
      <c r="A30" s="225" t="s">
        <v>247</v>
      </c>
      <c r="B30" s="1056" t="s">
        <v>248</v>
      </c>
      <c r="C30" s="1057"/>
      <c r="D30" s="1050"/>
      <c r="E30" s="1050"/>
      <c r="F30" s="1050"/>
      <c r="G30" s="1051"/>
      <c r="H30" s="319"/>
      <c r="I30" s="124"/>
      <c r="J30" s="124"/>
      <c r="K30" s="124"/>
      <c r="L30" s="124"/>
      <c r="M30" s="124"/>
      <c r="N30" s="124"/>
      <c r="O30" s="124"/>
      <c r="P30" s="124"/>
      <c r="Q30" s="124"/>
      <c r="R30" s="124"/>
      <c r="S30" s="124"/>
      <c r="T30" s="124"/>
      <c r="U30" s="124"/>
      <c r="V30" s="124"/>
      <c r="W30" s="124"/>
      <c r="X30" s="124"/>
    </row>
    <row r="31" spans="1:24" s="341" customFormat="1" ht="65.25" customHeight="1">
      <c r="A31" s="556"/>
      <c r="B31" s="717" t="s">
        <v>517</v>
      </c>
      <c r="C31" s="705">
        <f>'звіт ІІІ кв'!E17</f>
        <v>550</v>
      </c>
      <c r="D31" s="707">
        <f>'звіт ІІІ кв'!I17</f>
        <v>1490.61</v>
      </c>
      <c r="E31" s="769">
        <f>D31-C31</f>
        <v>940.6099999999999</v>
      </c>
      <c r="F31" s="712">
        <f>D31/C31*100</f>
        <v>271.02</v>
      </c>
      <c r="G31" s="443" t="s">
        <v>873</v>
      </c>
      <c r="H31" s="340"/>
      <c r="I31" s="289"/>
      <c r="J31" s="289"/>
      <c r="K31" s="289"/>
      <c r="L31" s="289"/>
      <c r="M31" s="289"/>
      <c r="N31" s="289"/>
      <c r="O31" s="289"/>
      <c r="P31" s="289"/>
      <c r="Q31" s="289"/>
      <c r="R31" s="289"/>
      <c r="S31" s="289"/>
      <c r="T31" s="289"/>
      <c r="U31" s="289"/>
      <c r="V31" s="289"/>
      <c r="W31" s="289"/>
      <c r="X31" s="289"/>
    </row>
    <row r="32" spans="1:24" s="341" customFormat="1" ht="47.25">
      <c r="A32" s="556"/>
      <c r="B32" s="717" t="s">
        <v>874</v>
      </c>
      <c r="C32" s="705">
        <v>50</v>
      </c>
      <c r="D32" s="765">
        <f>(D17+D22+D27)*100/78400</f>
        <v>53.169642857142854</v>
      </c>
      <c r="E32" s="765">
        <f>D32-C32</f>
        <v>3.1696428571428541</v>
      </c>
      <c r="F32" s="712">
        <f>D32/C32*100</f>
        <v>106.33928571428571</v>
      </c>
      <c r="G32" s="443" t="s">
        <v>826</v>
      </c>
      <c r="H32" s="340"/>
      <c r="I32" s="289"/>
      <c r="J32" s="289"/>
      <c r="K32" s="289"/>
      <c r="L32" s="289"/>
      <c r="M32" s="289"/>
      <c r="N32" s="289"/>
      <c r="O32" s="289"/>
      <c r="P32" s="289"/>
      <c r="Q32" s="289"/>
      <c r="R32" s="289"/>
      <c r="S32" s="289"/>
      <c r="T32" s="289"/>
      <c r="U32" s="289"/>
      <c r="V32" s="289"/>
      <c r="W32" s="289"/>
      <c r="X32" s="289"/>
    </row>
    <row r="33" spans="1:24" s="350" customFormat="1">
      <c r="A33" s="225" t="s">
        <v>253</v>
      </c>
      <c r="B33" s="1087" t="s">
        <v>54</v>
      </c>
      <c r="C33" s="1088"/>
      <c r="D33" s="1089"/>
      <c r="E33" s="1088"/>
      <c r="F33" s="1088"/>
      <c r="G33" s="1090"/>
      <c r="H33" s="340"/>
      <c r="I33" s="289"/>
      <c r="J33" s="289"/>
      <c r="K33" s="289"/>
      <c r="L33" s="289"/>
      <c r="M33" s="289"/>
      <c r="N33" s="289"/>
      <c r="O33" s="289"/>
      <c r="P33" s="289"/>
      <c r="Q33" s="289"/>
      <c r="R33" s="289"/>
      <c r="S33" s="289"/>
      <c r="T33" s="289"/>
      <c r="U33" s="289"/>
      <c r="V33" s="289"/>
      <c r="W33" s="289"/>
      <c r="X33" s="289"/>
    </row>
    <row r="34" spans="1:24" s="341" customFormat="1" ht="173.25">
      <c r="A34" s="556"/>
      <c r="B34" s="717" t="s">
        <v>875</v>
      </c>
      <c r="C34" s="68">
        <v>4</v>
      </c>
      <c r="D34" s="766">
        <v>4</v>
      </c>
      <c r="E34" s="770">
        <f>D34-C34</f>
        <v>0</v>
      </c>
      <c r="F34" s="712">
        <f>D34/C34*100</f>
        <v>100</v>
      </c>
      <c r="G34" s="764" t="s">
        <v>876</v>
      </c>
      <c r="H34" s="340"/>
      <c r="I34" s="289"/>
      <c r="J34" s="289"/>
      <c r="K34" s="289"/>
      <c r="L34" s="289"/>
      <c r="M34" s="289"/>
      <c r="N34" s="289"/>
      <c r="O34" s="289"/>
      <c r="P34" s="289"/>
      <c r="Q34" s="289"/>
      <c r="R34" s="289"/>
      <c r="S34" s="289"/>
      <c r="T34" s="289"/>
      <c r="U34" s="289"/>
      <c r="V34" s="289"/>
      <c r="W34" s="289"/>
      <c r="X34" s="289"/>
    </row>
    <row r="35" spans="1:24" s="341" customFormat="1" ht="47.25">
      <c r="A35" s="556"/>
      <c r="B35" s="717" t="s">
        <v>877</v>
      </c>
      <c r="C35" s="705">
        <v>61</v>
      </c>
      <c r="D35" s="765">
        <f>(D17+D22+D27)/78400*100</f>
        <v>53.169642857142861</v>
      </c>
      <c r="E35" s="765">
        <f>D35-C35</f>
        <v>-7.8303571428571388</v>
      </c>
      <c r="F35" s="712">
        <f>D35/C35*100</f>
        <v>87.163348946135841</v>
      </c>
      <c r="G35" s="764" t="s">
        <v>824</v>
      </c>
      <c r="H35" s="340"/>
      <c r="I35" s="289"/>
      <c r="J35" s="289"/>
      <c r="K35" s="289"/>
      <c r="L35" s="289"/>
      <c r="M35" s="289"/>
      <c r="N35" s="289"/>
      <c r="O35" s="289"/>
      <c r="P35" s="289"/>
      <c r="Q35" s="289"/>
      <c r="R35" s="289"/>
      <c r="S35" s="289"/>
      <c r="T35" s="289"/>
      <c r="U35" s="289"/>
      <c r="V35" s="289"/>
      <c r="W35" s="289"/>
      <c r="X35" s="289"/>
    </row>
    <row r="36" spans="1:24" s="341" customFormat="1">
      <c r="A36" s="158" t="s">
        <v>66</v>
      </c>
      <c r="B36" s="1056" t="s">
        <v>55</v>
      </c>
      <c r="C36" s="1057"/>
      <c r="D36" s="1057"/>
      <c r="E36" s="1057"/>
      <c r="F36" s="1057"/>
      <c r="G36" s="1058"/>
      <c r="H36" s="340"/>
      <c r="I36" s="289"/>
      <c r="J36" s="289"/>
      <c r="K36" s="289"/>
      <c r="L36" s="289"/>
      <c r="M36" s="289"/>
      <c r="N36" s="289"/>
      <c r="O36" s="289"/>
      <c r="P36" s="289"/>
      <c r="Q36" s="289"/>
      <c r="R36" s="289"/>
      <c r="S36" s="289"/>
      <c r="T36" s="289"/>
      <c r="U36" s="289"/>
      <c r="V36" s="289"/>
      <c r="W36" s="289"/>
      <c r="X36" s="289"/>
    </row>
    <row r="37" spans="1:24" ht="47.25">
      <c r="A37" s="158"/>
      <c r="B37" s="771" t="s">
        <v>196</v>
      </c>
      <c r="C37" s="772">
        <f>'звіт ІІІ кв'!E19</f>
        <v>1150</v>
      </c>
      <c r="D37" s="772">
        <f>'звіт ІІІ кв'!I19</f>
        <v>1263.77</v>
      </c>
      <c r="E37" s="772">
        <f>D37-C37</f>
        <v>113.76999999999998</v>
      </c>
      <c r="F37" s="121">
        <f>D37/C37*100</f>
        <v>109.89304347826088</v>
      </c>
      <c r="G37" s="773" t="s">
        <v>878</v>
      </c>
    </row>
    <row r="38" spans="1:24" ht="50.25" customHeight="1">
      <c r="A38" s="137"/>
      <c r="B38" s="771" t="s">
        <v>207</v>
      </c>
      <c r="C38" s="120">
        <v>3</v>
      </c>
      <c r="D38" s="120">
        <v>2</v>
      </c>
      <c r="E38" s="121">
        <f>D38-C38</f>
        <v>-1</v>
      </c>
      <c r="F38" s="121">
        <f>D38/C38*100</f>
        <v>66.666666666666657</v>
      </c>
      <c r="G38" s="773" t="s">
        <v>823</v>
      </c>
    </row>
    <row r="39" spans="1:24" ht="47.25">
      <c r="A39" s="137"/>
      <c r="B39" s="771" t="s">
        <v>208</v>
      </c>
      <c r="C39" s="772">
        <f>C37/C38</f>
        <v>383.33333333333331</v>
      </c>
      <c r="D39" s="772">
        <f>D37/D38</f>
        <v>631.88499999999999</v>
      </c>
      <c r="E39" s="772">
        <f>D39-C39</f>
        <v>248.55166666666668</v>
      </c>
      <c r="F39" s="121">
        <f>D39/C39*100</f>
        <v>164.83956521739131</v>
      </c>
      <c r="G39" s="773" t="s">
        <v>878</v>
      </c>
    </row>
    <row r="40" spans="1:24" ht="66.75" customHeight="1">
      <c r="A40" s="268"/>
      <c r="B40" s="771" t="s">
        <v>209</v>
      </c>
      <c r="C40" s="757">
        <v>45</v>
      </c>
      <c r="D40" s="772">
        <f>3238/78400*100</f>
        <v>4.1301020408163271</v>
      </c>
      <c r="E40" s="772">
        <f>D40-C40</f>
        <v>-40.869897959183675</v>
      </c>
      <c r="F40" s="121">
        <f>D40/C40*100</f>
        <v>9.1780045351473944</v>
      </c>
      <c r="G40" s="773" t="s">
        <v>846</v>
      </c>
    </row>
    <row r="41" spans="1:24">
      <c r="A41" s="699" t="s">
        <v>256</v>
      </c>
      <c r="B41" s="999" t="s">
        <v>56</v>
      </c>
      <c r="C41" s="1000"/>
      <c r="D41" s="1000"/>
      <c r="E41" s="1000"/>
      <c r="F41" s="1000"/>
      <c r="G41" s="1001"/>
    </row>
    <row r="42" spans="1:24" ht="94.5">
      <c r="A42" s="158"/>
      <c r="B42" s="774" t="s">
        <v>196</v>
      </c>
      <c r="C42" s="700">
        <f>'звіт ІІІ кв'!E20</f>
        <v>1950.8</v>
      </c>
      <c r="D42" s="700">
        <v>1673.02</v>
      </c>
      <c r="E42" s="775">
        <f>D42-C42</f>
        <v>-277.77999999999997</v>
      </c>
      <c r="F42" s="121">
        <f>D42/C42*100</f>
        <v>85.760713553413979</v>
      </c>
      <c r="G42" s="701" t="s">
        <v>938</v>
      </c>
      <c r="H42" s="558"/>
    </row>
    <row r="43" spans="1:24" ht="47.25">
      <c r="A43" s="137"/>
      <c r="B43" s="774" t="s">
        <v>879</v>
      </c>
      <c r="C43" s="194">
        <v>2430</v>
      </c>
      <c r="D43" s="776">
        <v>100</v>
      </c>
      <c r="E43" s="775">
        <f>D43-C43</f>
        <v>-2330</v>
      </c>
      <c r="F43" s="121">
        <f>D43/C43*100</f>
        <v>4.1152263374485596</v>
      </c>
      <c r="G43" s="701" t="s">
        <v>820</v>
      </c>
      <c r="H43" s="558"/>
    </row>
    <row r="44" spans="1:24" ht="94.5">
      <c r="A44" s="137"/>
      <c r="B44" s="774" t="s">
        <v>880</v>
      </c>
      <c r="C44" s="700">
        <f>C42/C43</f>
        <v>0.80279835390946497</v>
      </c>
      <c r="D44" s="777">
        <f>83.616/D43</f>
        <v>0.83616000000000001</v>
      </c>
      <c r="E44" s="778">
        <f>D44-C44</f>
        <v>3.3361646090535046E-2</v>
      </c>
      <c r="F44" s="121">
        <f>D44/C44*100</f>
        <v>104.15566946893584</v>
      </c>
      <c r="G44" s="701" t="s">
        <v>881</v>
      </c>
      <c r="H44" s="558"/>
    </row>
    <row r="45" spans="1:24" ht="63">
      <c r="A45" s="268"/>
      <c r="B45" s="774" t="s">
        <v>882</v>
      </c>
      <c r="C45" s="700">
        <v>7.3</v>
      </c>
      <c r="D45" s="779">
        <f>D43*100/33300</f>
        <v>0.3003003003003003</v>
      </c>
      <c r="E45" s="778">
        <f>D45-C45</f>
        <v>-6.9996996996996996</v>
      </c>
      <c r="F45" s="121">
        <f>D45/C45*100</f>
        <v>4.1137027438397302</v>
      </c>
      <c r="G45" s="701" t="s">
        <v>820</v>
      </c>
      <c r="H45" s="558"/>
    </row>
    <row r="46" spans="1:24" s="341" customFormat="1" ht="32.25" customHeight="1">
      <c r="A46" s="410" t="s">
        <v>261</v>
      </c>
      <c r="B46" s="1049" t="s">
        <v>57</v>
      </c>
      <c r="C46" s="1050"/>
      <c r="D46" s="1050"/>
      <c r="E46" s="1050"/>
      <c r="F46" s="1050"/>
      <c r="G46" s="1051"/>
      <c r="H46" s="340"/>
      <c r="I46" s="289"/>
      <c r="J46" s="289"/>
      <c r="K46" s="289"/>
      <c r="L46" s="289"/>
      <c r="M46" s="289"/>
      <c r="N46" s="289"/>
      <c r="O46" s="289"/>
      <c r="P46" s="289"/>
      <c r="Q46" s="289"/>
      <c r="R46" s="289"/>
      <c r="S46" s="289"/>
      <c r="T46" s="289"/>
      <c r="U46" s="289"/>
      <c r="V46" s="289"/>
      <c r="W46" s="289"/>
      <c r="X46" s="289"/>
    </row>
    <row r="47" spans="1:24" ht="78.75">
      <c r="A47" s="158"/>
      <c r="B47" s="774" t="s">
        <v>196</v>
      </c>
      <c r="C47" s="700">
        <f>'звіт ІІІ кв'!E21</f>
        <v>635</v>
      </c>
      <c r="D47" s="778">
        <f>'звіт ІІІ кв'!I21</f>
        <v>282.25</v>
      </c>
      <c r="E47" s="775">
        <f>D47-C47</f>
        <v>-352.75</v>
      </c>
      <c r="F47" s="121">
        <f>D47/C47*100</f>
        <v>44.448818897637793</v>
      </c>
      <c r="G47" s="773" t="s">
        <v>757</v>
      </c>
    </row>
    <row r="48" spans="1:24" ht="82.5" customHeight="1">
      <c r="A48" s="137"/>
      <c r="B48" s="774" t="s">
        <v>883</v>
      </c>
      <c r="C48" s="194">
        <v>195</v>
      </c>
      <c r="D48" s="120">
        <v>132</v>
      </c>
      <c r="E48" s="775">
        <f>D48-C48</f>
        <v>-63</v>
      </c>
      <c r="F48" s="121">
        <f>D48/C48*100</f>
        <v>67.692307692307693</v>
      </c>
      <c r="G48" s="773" t="s">
        <v>852</v>
      </c>
      <c r="H48" s="558"/>
    </row>
    <row r="49" spans="1:24" ht="63">
      <c r="A49" s="137"/>
      <c r="B49" s="774" t="s">
        <v>884</v>
      </c>
      <c r="C49" s="700">
        <f>C47/C48</f>
        <v>3.2564102564102564</v>
      </c>
      <c r="D49" s="778">
        <f>D47/D48</f>
        <v>2.1382575757575757</v>
      </c>
      <c r="E49" s="778">
        <f>D49-C49</f>
        <v>-1.1181526806526807</v>
      </c>
      <c r="F49" s="121">
        <f>D49/C49*100</f>
        <v>65.663027916964921</v>
      </c>
      <c r="G49" s="773" t="s">
        <v>723</v>
      </c>
    </row>
    <row r="50" spans="1:24" ht="69" customHeight="1">
      <c r="A50" s="268"/>
      <c r="B50" s="774" t="s">
        <v>885</v>
      </c>
      <c r="C50" s="700">
        <v>65</v>
      </c>
      <c r="D50" s="780">
        <f>D48/122*100</f>
        <v>108.19672131147541</v>
      </c>
      <c r="E50" s="778">
        <f>D50-C50</f>
        <v>43.196721311475414</v>
      </c>
      <c r="F50" s="121">
        <f>D50/C50*100</f>
        <v>166.4564943253468</v>
      </c>
      <c r="G50" s="773" t="s">
        <v>686</v>
      </c>
      <c r="H50" s="558"/>
    </row>
    <row r="51" spans="1:24" s="341" customFormat="1" ht="36.75" customHeight="1">
      <c r="A51" s="137" t="s">
        <v>265</v>
      </c>
      <c r="B51" s="999" t="s">
        <v>415</v>
      </c>
      <c r="C51" s="1000"/>
      <c r="D51" s="1000"/>
      <c r="E51" s="1000"/>
      <c r="F51" s="1000"/>
      <c r="G51" s="1001"/>
      <c r="H51" s="340"/>
      <c r="I51" s="289"/>
      <c r="J51" s="289"/>
      <c r="K51" s="289"/>
      <c r="L51" s="289"/>
      <c r="M51" s="289"/>
      <c r="N51" s="289"/>
      <c r="O51" s="289"/>
      <c r="P51" s="289"/>
      <c r="Q51" s="289"/>
      <c r="R51" s="289"/>
      <c r="S51" s="289"/>
      <c r="T51" s="289"/>
      <c r="U51" s="289"/>
      <c r="V51" s="289"/>
      <c r="W51" s="289"/>
      <c r="X51" s="289"/>
    </row>
    <row r="52" spans="1:24" ht="110.25">
      <c r="A52" s="158"/>
      <c r="B52" s="774" t="s">
        <v>196</v>
      </c>
      <c r="C52" s="700">
        <f>'звіт ІІІ кв'!G22</f>
        <v>903.2</v>
      </c>
      <c r="D52" s="757">
        <f>'звіт ІІІ кв'!I22</f>
        <v>2477.038</v>
      </c>
      <c r="E52" s="700">
        <f>D52-C52</f>
        <v>1573.838</v>
      </c>
      <c r="F52" s="195">
        <f>D52/C52*100</f>
        <v>274.25132860938885</v>
      </c>
      <c r="G52" s="193" t="s">
        <v>939</v>
      </c>
      <c r="H52" s="562"/>
      <c r="I52" s="265"/>
    </row>
    <row r="53" spans="1:24" ht="47.25">
      <c r="A53" s="137"/>
      <c r="B53" s="553" t="s">
        <v>416</v>
      </c>
      <c r="C53" s="194">
        <v>5</v>
      </c>
      <c r="D53" s="194">
        <v>10</v>
      </c>
      <c r="E53" s="194">
        <f>D53-C53</f>
        <v>5</v>
      </c>
      <c r="F53" s="194">
        <f>D53/C53*100</f>
        <v>200</v>
      </c>
      <c r="G53" s="773" t="s">
        <v>400</v>
      </c>
      <c r="H53" s="562"/>
      <c r="I53" s="265"/>
    </row>
    <row r="54" spans="1:24" ht="31.5">
      <c r="A54" s="137"/>
      <c r="B54" s="553" t="s">
        <v>417</v>
      </c>
      <c r="C54" s="700">
        <f>C52/C53</f>
        <v>180.64000000000001</v>
      </c>
      <c r="D54" s="700">
        <f>D52/D53</f>
        <v>247.7038</v>
      </c>
      <c r="E54" s="700">
        <f>D54-C54</f>
        <v>67.063799999999986</v>
      </c>
      <c r="F54" s="781">
        <f>D54/C54*100</f>
        <v>137.12566430469442</v>
      </c>
      <c r="G54" s="773" t="s">
        <v>714</v>
      </c>
      <c r="H54" s="562"/>
      <c r="I54" s="265"/>
    </row>
    <row r="55" spans="1:24" ht="47.25">
      <c r="A55" s="137"/>
      <c r="B55" s="553" t="s">
        <v>418</v>
      </c>
      <c r="C55" s="194">
        <v>8</v>
      </c>
      <c r="D55" s="194">
        <v>4</v>
      </c>
      <c r="E55" s="194">
        <f>D55-C55</f>
        <v>-4</v>
      </c>
      <c r="F55" s="194">
        <f>D55/C55*100</f>
        <v>50</v>
      </c>
      <c r="G55" s="773" t="s">
        <v>400</v>
      </c>
      <c r="H55" s="562"/>
      <c r="I55" s="265"/>
    </row>
    <row r="56" spans="1:24" s="341" customFormat="1">
      <c r="A56" s="137"/>
      <c r="B56" s="702" t="s">
        <v>419</v>
      </c>
      <c r="C56" s="68"/>
      <c r="D56" s="68"/>
      <c r="E56" s="194"/>
      <c r="F56" s="194"/>
      <c r="G56" s="193"/>
      <c r="H56" s="340"/>
      <c r="I56" s="362"/>
      <c r="J56" s="289"/>
      <c r="K56" s="289"/>
      <c r="L56" s="289"/>
      <c r="M56" s="289"/>
      <c r="N56" s="289"/>
      <c r="O56" s="289"/>
      <c r="P56" s="289"/>
      <c r="Q56" s="289"/>
      <c r="R56" s="289"/>
      <c r="S56" s="289"/>
      <c r="T56" s="289"/>
      <c r="U56" s="289"/>
      <c r="V56" s="289"/>
      <c r="W56" s="289"/>
      <c r="X56" s="289"/>
    </row>
    <row r="57" spans="1:24" s="341" customFormat="1" ht="47.25">
      <c r="A57" s="344"/>
      <c r="B57" s="703" t="s">
        <v>420</v>
      </c>
      <c r="C57" s="105">
        <f>'звіт ІІІ кв'!E26</f>
        <v>2873.79</v>
      </c>
      <c r="D57" s="705">
        <f>'звіт ІІІ кв'!I26</f>
        <v>2284.3779999999997</v>
      </c>
      <c r="E57" s="105">
        <f t="shared" ref="E57:E63" si="0">D57-C57</f>
        <v>-589.41200000000026</v>
      </c>
      <c r="F57" s="706">
        <f t="shared" ref="F57:F63" si="1">D57/C57*100</f>
        <v>79.490081042804093</v>
      </c>
      <c r="G57" s="773" t="s">
        <v>886</v>
      </c>
      <c r="H57" s="340"/>
      <c r="I57" s="362"/>
      <c r="J57" s="289"/>
      <c r="K57" s="289"/>
      <c r="L57" s="289"/>
      <c r="M57" s="289"/>
      <c r="N57" s="289"/>
      <c r="O57" s="289"/>
      <c r="P57" s="289"/>
      <c r="Q57" s="289"/>
      <c r="R57" s="289"/>
      <c r="S57" s="289"/>
      <c r="T57" s="289"/>
      <c r="U57" s="289"/>
      <c r="V57" s="289"/>
      <c r="W57" s="289"/>
      <c r="X57" s="289"/>
    </row>
    <row r="58" spans="1:24" ht="31.5">
      <c r="A58" s="137"/>
      <c r="B58" s="782" t="s">
        <v>421</v>
      </c>
      <c r="C58" s="194">
        <v>1650</v>
      </c>
      <c r="D58" s="194">
        <v>1144</v>
      </c>
      <c r="E58" s="757">
        <f t="shared" si="0"/>
        <v>-506</v>
      </c>
      <c r="F58" s="195">
        <f t="shared" si="1"/>
        <v>69.333333333333343</v>
      </c>
      <c r="G58" s="773" t="s">
        <v>819</v>
      </c>
      <c r="H58" s="558"/>
      <c r="I58" s="265"/>
    </row>
    <row r="59" spans="1:24" ht="31.5">
      <c r="A59" s="137"/>
      <c r="B59" s="782" t="s">
        <v>422</v>
      </c>
      <c r="C59" s="194">
        <v>1400</v>
      </c>
      <c r="D59" s="194">
        <v>663</v>
      </c>
      <c r="E59" s="194">
        <f t="shared" si="0"/>
        <v>-737</v>
      </c>
      <c r="F59" s="195">
        <f t="shared" si="1"/>
        <v>47.357142857142861</v>
      </c>
      <c r="G59" s="773" t="s">
        <v>827</v>
      </c>
      <c r="H59" s="558"/>
      <c r="I59" s="265"/>
    </row>
    <row r="60" spans="1:24" ht="97.5" customHeight="1">
      <c r="A60" s="137"/>
      <c r="B60" s="783" t="s">
        <v>423</v>
      </c>
      <c r="C60" s="194">
        <v>0</v>
      </c>
      <c r="D60" s="194">
        <v>348</v>
      </c>
      <c r="E60" s="784">
        <f t="shared" si="0"/>
        <v>348</v>
      </c>
      <c r="F60" s="195">
        <v>435</v>
      </c>
      <c r="G60" s="773" t="s">
        <v>844</v>
      </c>
      <c r="H60" s="558"/>
      <c r="I60" s="265"/>
    </row>
    <row r="61" spans="1:24" ht="94.5">
      <c r="A61" s="137"/>
      <c r="B61" s="783" t="s">
        <v>424</v>
      </c>
      <c r="C61" s="194">
        <v>250</v>
      </c>
      <c r="D61" s="194">
        <v>0</v>
      </c>
      <c r="E61" s="194">
        <f t="shared" si="0"/>
        <v>-250</v>
      </c>
      <c r="F61" s="195">
        <f t="shared" si="1"/>
        <v>0</v>
      </c>
      <c r="G61" s="773" t="s">
        <v>687</v>
      </c>
      <c r="H61" s="558"/>
      <c r="I61" s="265"/>
    </row>
    <row r="62" spans="1:24" ht="78.75">
      <c r="A62" s="137"/>
      <c r="B62" s="783" t="s">
        <v>425</v>
      </c>
      <c r="C62" s="700">
        <f>C57/C58</f>
        <v>1.7416909090909092</v>
      </c>
      <c r="D62" s="700">
        <f>D57/961</f>
        <v>2.377084287200832</v>
      </c>
      <c r="E62" s="700">
        <f t="shared" si="0"/>
        <v>0.6353933781099228</v>
      </c>
      <c r="F62" s="195">
        <f t="shared" si="1"/>
        <v>136.48140865830044</v>
      </c>
      <c r="G62" s="193" t="s">
        <v>845</v>
      </c>
      <c r="I62" s="265"/>
    </row>
    <row r="63" spans="1:24" ht="78.75">
      <c r="A63" s="268"/>
      <c r="B63" s="783" t="s">
        <v>426</v>
      </c>
      <c r="C63" s="700">
        <v>35</v>
      </c>
      <c r="D63" s="700">
        <f>D58/5782*100</f>
        <v>19.785541335178138</v>
      </c>
      <c r="E63" s="700">
        <f t="shared" si="0"/>
        <v>-15.214458664821862</v>
      </c>
      <c r="F63" s="195">
        <f t="shared" si="1"/>
        <v>56.530118100508965</v>
      </c>
      <c r="G63" s="193" t="s">
        <v>828</v>
      </c>
      <c r="H63" s="558"/>
      <c r="I63" s="265"/>
    </row>
    <row r="64" spans="1:24" s="341" customFormat="1">
      <c r="A64" s="344" t="s">
        <v>427</v>
      </c>
      <c r="B64" s="1049" t="s">
        <v>430</v>
      </c>
      <c r="C64" s="1050"/>
      <c r="D64" s="1050"/>
      <c r="E64" s="1050"/>
      <c r="F64" s="1050"/>
      <c r="G64" s="1051"/>
      <c r="H64" s="340"/>
      <c r="I64" s="289"/>
      <c r="J64" s="289"/>
      <c r="K64" s="289"/>
      <c r="L64" s="289"/>
      <c r="M64" s="289"/>
      <c r="N64" s="289"/>
      <c r="O64" s="289"/>
      <c r="P64" s="289"/>
      <c r="Q64" s="289"/>
      <c r="R64" s="289"/>
      <c r="S64" s="289"/>
      <c r="T64" s="289"/>
      <c r="U64" s="289"/>
      <c r="V64" s="289"/>
      <c r="W64" s="289"/>
      <c r="X64" s="289"/>
    </row>
    <row r="65" spans="1:24" s="341" customFormat="1" ht="47.25">
      <c r="A65" s="352"/>
      <c r="B65" s="763" t="s">
        <v>196</v>
      </c>
      <c r="C65" s="105">
        <f>'звіт ІІІ кв'!E27</f>
        <v>4157.95</v>
      </c>
      <c r="D65" s="707">
        <f>'звіт ІІІ кв'!I27</f>
        <v>3572.3159999999998</v>
      </c>
      <c r="E65" s="785">
        <f>D65-C65</f>
        <v>-585.63400000000001</v>
      </c>
      <c r="F65" s="712">
        <f>D65/C65*100</f>
        <v>85.915318847027976</v>
      </c>
      <c r="G65" s="193" t="s">
        <v>887</v>
      </c>
      <c r="H65" s="340"/>
      <c r="I65" s="289"/>
      <c r="J65" s="289"/>
      <c r="K65" s="289"/>
      <c r="L65" s="289"/>
      <c r="M65" s="289"/>
      <c r="N65" s="289"/>
      <c r="O65" s="289"/>
      <c r="P65" s="289"/>
      <c r="Q65" s="289"/>
      <c r="R65" s="289"/>
      <c r="S65" s="289"/>
      <c r="T65" s="289"/>
      <c r="U65" s="289"/>
      <c r="V65" s="289"/>
      <c r="W65" s="289"/>
      <c r="X65" s="289"/>
    </row>
    <row r="66" spans="1:24" s="341" customFormat="1" ht="34.5" customHeight="1">
      <c r="A66" s="344"/>
      <c r="B66" s="711" t="s">
        <v>72</v>
      </c>
      <c r="C66" s="786"/>
      <c r="D66" s="708"/>
      <c r="E66" s="766"/>
      <c r="F66" s="712"/>
      <c r="G66" s="787"/>
      <c r="H66" s="340"/>
      <c r="I66" s="289"/>
      <c r="J66" s="289"/>
      <c r="K66" s="289"/>
      <c r="L66" s="289"/>
      <c r="M66" s="289"/>
      <c r="N66" s="289"/>
      <c r="O66" s="289"/>
      <c r="P66" s="289"/>
      <c r="Q66" s="289"/>
      <c r="R66" s="289"/>
      <c r="S66" s="289"/>
      <c r="T66" s="289"/>
      <c r="U66" s="289"/>
      <c r="V66" s="289"/>
      <c r="W66" s="289"/>
      <c r="X66" s="289"/>
    </row>
    <row r="67" spans="1:24" ht="31.5">
      <c r="A67" s="137"/>
      <c r="B67" s="774" t="s">
        <v>888</v>
      </c>
      <c r="C67" s="194">
        <v>37500</v>
      </c>
      <c r="D67" s="120">
        <v>22282</v>
      </c>
      <c r="E67" s="788">
        <f>D67-C67</f>
        <v>-15218</v>
      </c>
      <c r="F67" s="121">
        <f>D67/C67*100</f>
        <v>59.418666666666667</v>
      </c>
      <c r="G67" s="193" t="s">
        <v>766</v>
      </c>
      <c r="H67" s="562"/>
    </row>
    <row r="68" spans="1:24" ht="47.25">
      <c r="A68" s="137"/>
      <c r="B68" s="748" t="s">
        <v>73</v>
      </c>
      <c r="C68" s="709"/>
      <c r="D68" s="709"/>
      <c r="E68" s="709"/>
      <c r="F68" s="709"/>
      <c r="G68" s="750"/>
    </row>
    <row r="69" spans="1:24" ht="78.75">
      <c r="A69" s="137"/>
      <c r="B69" s="783" t="s">
        <v>889</v>
      </c>
      <c r="C69" s="194">
        <v>300</v>
      </c>
      <c r="D69" s="120">
        <v>163</v>
      </c>
      <c r="E69" s="788">
        <f>D69-C69</f>
        <v>-137</v>
      </c>
      <c r="F69" s="121">
        <f>D69/C69*100</f>
        <v>54.333333333333336</v>
      </c>
      <c r="G69" s="193" t="s">
        <v>831</v>
      </c>
      <c r="H69" s="562"/>
    </row>
    <row r="70" spans="1:24" ht="63">
      <c r="A70" s="137"/>
      <c r="B70" s="783" t="s">
        <v>890</v>
      </c>
      <c r="C70" s="705">
        <v>5.72</v>
      </c>
      <c r="D70" s="765">
        <f>'звіт ІІІ кв'!I29/'показники ІІІ кв'!D69</f>
        <v>4.8977668711656444</v>
      </c>
      <c r="E70" s="777">
        <f>D70-C70</f>
        <v>-0.8222331288343554</v>
      </c>
      <c r="F70" s="121">
        <f>D70/C70*100</f>
        <v>85.625294950448321</v>
      </c>
      <c r="G70" s="193" t="s">
        <v>768</v>
      </c>
    </row>
    <row r="71" spans="1:24" ht="47.25">
      <c r="A71" s="137"/>
      <c r="B71" s="748" t="s">
        <v>74</v>
      </c>
      <c r="C71" s="710"/>
      <c r="D71" s="710"/>
      <c r="E71" s="709"/>
      <c r="F71" s="709"/>
      <c r="G71" s="750"/>
    </row>
    <row r="72" spans="1:24" ht="94.5">
      <c r="A72" s="137"/>
      <c r="B72" s="783" t="s">
        <v>891</v>
      </c>
      <c r="C72" s="194">
        <v>300</v>
      </c>
      <c r="D72" s="121">
        <v>163</v>
      </c>
      <c r="E72" s="775">
        <f>D72-C72</f>
        <v>-137</v>
      </c>
      <c r="F72" s="121">
        <f>D72/C72*100</f>
        <v>54.333333333333336</v>
      </c>
      <c r="G72" s="442" t="s">
        <v>725</v>
      </c>
      <c r="H72" s="558"/>
    </row>
    <row r="73" spans="1:24" ht="175.5" customHeight="1">
      <c r="A73" s="268"/>
      <c r="B73" s="783" t="s">
        <v>892</v>
      </c>
      <c r="C73" s="194">
        <v>2.5</v>
      </c>
      <c r="D73" s="780" t="s">
        <v>653</v>
      </c>
      <c r="E73" s="780" t="s">
        <v>653</v>
      </c>
      <c r="F73" s="121" t="s">
        <v>653</v>
      </c>
      <c r="G73" s="442" t="s">
        <v>843</v>
      </c>
      <c r="H73" s="558"/>
    </row>
    <row r="74" spans="1:24" ht="39" customHeight="1">
      <c r="A74" s="137" t="s">
        <v>71</v>
      </c>
      <c r="B74" s="1091" t="s">
        <v>432</v>
      </c>
      <c r="C74" s="1092"/>
      <c r="D74" s="1092"/>
      <c r="E74" s="1092"/>
      <c r="F74" s="1092"/>
      <c r="G74" s="1093"/>
    </row>
    <row r="75" spans="1:24" s="341" customFormat="1" ht="31.5">
      <c r="A75" s="352"/>
      <c r="B75" s="767" t="s">
        <v>517</v>
      </c>
      <c r="C75" s="705">
        <f>'звіт ІІІ кв'!E31</f>
        <v>300</v>
      </c>
      <c r="D75" s="708">
        <f>'звіт ІІІ кв'!I31</f>
        <v>0</v>
      </c>
      <c r="E75" s="766">
        <f>D75-C75</f>
        <v>-300</v>
      </c>
      <c r="F75" s="712">
        <f>D75/C75*100</f>
        <v>0</v>
      </c>
      <c r="G75" s="764" t="s">
        <v>690</v>
      </c>
      <c r="H75" s="340"/>
      <c r="I75" s="289"/>
      <c r="J75" s="289"/>
      <c r="K75" s="289"/>
      <c r="L75" s="289"/>
      <c r="M75" s="289"/>
      <c r="N75" s="289"/>
      <c r="O75" s="289"/>
      <c r="P75" s="289"/>
      <c r="Q75" s="289"/>
      <c r="R75" s="289"/>
      <c r="S75" s="289"/>
      <c r="T75" s="289"/>
      <c r="U75" s="289"/>
      <c r="V75" s="289"/>
      <c r="W75" s="289"/>
      <c r="X75" s="289"/>
    </row>
    <row r="76" spans="1:24" ht="51.75" customHeight="1">
      <c r="A76" s="137"/>
      <c r="B76" s="771" t="s">
        <v>893</v>
      </c>
      <c r="C76" s="68">
        <v>120</v>
      </c>
      <c r="D76" s="712">
        <v>71</v>
      </c>
      <c r="E76" s="775">
        <f>D76-C76</f>
        <v>-49</v>
      </c>
      <c r="F76" s="121">
        <f>D76/C76*100</f>
        <v>59.166666666666664</v>
      </c>
      <c r="G76" s="764" t="s">
        <v>689</v>
      </c>
    </row>
    <row r="77" spans="1:24" ht="31.5">
      <c r="A77" s="137"/>
      <c r="B77" s="771" t="s">
        <v>894</v>
      </c>
      <c r="C77" s="705">
        <f>C75/C76</f>
        <v>2.5</v>
      </c>
      <c r="D77" s="708">
        <v>0</v>
      </c>
      <c r="E77" s="778">
        <f>D77-C77</f>
        <v>-2.5</v>
      </c>
      <c r="F77" s="121">
        <f>D77/C77*100</f>
        <v>0</v>
      </c>
      <c r="G77" s="764" t="s">
        <v>690</v>
      </c>
    </row>
    <row r="78" spans="1:24" ht="47.25">
      <c r="A78" s="268"/>
      <c r="B78" s="771" t="s">
        <v>895</v>
      </c>
      <c r="C78" s="68">
        <v>80</v>
      </c>
      <c r="D78" s="708" t="s">
        <v>653</v>
      </c>
      <c r="E78" s="775" t="s">
        <v>653</v>
      </c>
      <c r="F78" s="121" t="s">
        <v>653</v>
      </c>
      <c r="G78" s="764" t="s">
        <v>690</v>
      </c>
    </row>
    <row r="79" spans="1:24" s="341" customFormat="1">
      <c r="A79" s="378" t="s">
        <v>78</v>
      </c>
      <c r="B79" s="1080" t="s">
        <v>77</v>
      </c>
      <c r="C79" s="1081"/>
      <c r="D79" s="1081"/>
      <c r="E79" s="1081"/>
      <c r="F79" s="1081"/>
      <c r="G79" s="1082"/>
      <c r="H79" s="340"/>
      <c r="I79" s="289"/>
      <c r="J79" s="289"/>
      <c r="K79" s="289"/>
      <c r="L79" s="289"/>
      <c r="M79" s="289"/>
      <c r="N79" s="289"/>
      <c r="O79" s="289"/>
      <c r="P79" s="289"/>
      <c r="Q79" s="289"/>
      <c r="R79" s="289"/>
      <c r="S79" s="289"/>
      <c r="T79" s="289"/>
      <c r="U79" s="289"/>
      <c r="V79" s="289"/>
      <c r="W79" s="289"/>
      <c r="X79" s="289"/>
    </row>
    <row r="80" spans="1:24" ht="23.25" customHeight="1">
      <c r="A80" s="272" t="s">
        <v>296</v>
      </c>
      <c r="B80" s="999" t="s">
        <v>433</v>
      </c>
      <c r="C80" s="1000"/>
      <c r="D80" s="1000"/>
      <c r="E80" s="1000"/>
      <c r="F80" s="1000"/>
      <c r="G80" s="1001"/>
    </row>
    <row r="81" spans="1:24" ht="81.75" customHeight="1">
      <c r="A81" s="272"/>
      <c r="B81" s="774" t="s">
        <v>517</v>
      </c>
      <c r="C81" s="757">
        <f>'звіт ІІІ кв'!E33</f>
        <v>802.21500000000003</v>
      </c>
      <c r="D81" s="757">
        <f>'звіт ІІІ кв'!I33</f>
        <v>2117</v>
      </c>
      <c r="E81" s="757">
        <f>D81-C81</f>
        <v>1314.7849999999999</v>
      </c>
      <c r="F81" s="195">
        <f>D81/C81*100</f>
        <v>263.89434253909485</v>
      </c>
      <c r="G81" s="701" t="s">
        <v>896</v>
      </c>
    </row>
    <row r="82" spans="1:24" s="548" customFormat="1" ht="66" customHeight="1">
      <c r="A82" s="274"/>
      <c r="B82" s="783" t="s">
        <v>726</v>
      </c>
      <c r="C82" s="194">
        <v>140000</v>
      </c>
      <c r="D82" s="194">
        <v>218248</v>
      </c>
      <c r="E82" s="194">
        <f t="shared" ref="E82:E96" si="2">D82-C82</f>
        <v>78248</v>
      </c>
      <c r="F82" s="195">
        <f t="shared" ref="F82:F96" si="3">D82/C82*100</f>
        <v>155.89142857142858</v>
      </c>
      <c r="G82" s="701" t="s">
        <v>851</v>
      </c>
      <c r="H82" s="564"/>
      <c r="I82" s="547"/>
      <c r="J82" s="547"/>
      <c r="K82" s="547"/>
      <c r="L82" s="547"/>
      <c r="M82" s="547"/>
      <c r="N82" s="547"/>
      <c r="O82" s="547"/>
      <c r="P82" s="547"/>
      <c r="Q82" s="547"/>
      <c r="R82" s="547"/>
      <c r="S82" s="547"/>
      <c r="T82" s="547"/>
      <c r="U82" s="547"/>
      <c r="V82" s="547"/>
      <c r="W82" s="547"/>
      <c r="X82" s="547"/>
    </row>
    <row r="83" spans="1:24" s="548" customFormat="1" ht="84" customHeight="1">
      <c r="A83" s="274"/>
      <c r="B83" s="783" t="s">
        <v>727</v>
      </c>
      <c r="C83" s="194">
        <v>3360</v>
      </c>
      <c r="D83" s="194">
        <v>2845</v>
      </c>
      <c r="E83" s="194">
        <f t="shared" si="2"/>
        <v>-515</v>
      </c>
      <c r="F83" s="195">
        <f t="shared" si="3"/>
        <v>84.672619047619051</v>
      </c>
      <c r="G83" s="701" t="s">
        <v>854</v>
      </c>
      <c r="H83" s="564"/>
      <c r="I83" s="547"/>
      <c r="J83" s="547"/>
      <c r="K83" s="547"/>
      <c r="L83" s="547"/>
      <c r="M83" s="547"/>
      <c r="N83" s="547"/>
      <c r="O83" s="547"/>
      <c r="P83" s="547"/>
      <c r="Q83" s="547"/>
      <c r="R83" s="547"/>
      <c r="S83" s="547"/>
      <c r="T83" s="547"/>
      <c r="U83" s="547"/>
      <c r="V83" s="547"/>
      <c r="W83" s="547"/>
      <c r="X83" s="547"/>
    </row>
    <row r="84" spans="1:24" s="548" customFormat="1" ht="63">
      <c r="A84" s="274"/>
      <c r="B84" s="783" t="s">
        <v>772</v>
      </c>
      <c r="C84" s="700">
        <f>C81/C83</f>
        <v>0.23875446428571429</v>
      </c>
      <c r="D84" s="700" t="s">
        <v>653</v>
      </c>
      <c r="E84" s="700" t="s">
        <v>653</v>
      </c>
      <c r="F84" s="195" t="s">
        <v>653</v>
      </c>
      <c r="G84" s="701" t="s">
        <v>853</v>
      </c>
      <c r="H84" s="546"/>
      <c r="I84" s="547"/>
      <c r="J84" s="547"/>
      <c r="K84" s="547"/>
      <c r="L84" s="547"/>
      <c r="M84" s="547"/>
      <c r="N84" s="547"/>
      <c r="O84" s="547"/>
      <c r="P84" s="547"/>
      <c r="Q84" s="547"/>
      <c r="R84" s="547"/>
      <c r="S84" s="547"/>
      <c r="T84" s="547"/>
      <c r="U84" s="547"/>
      <c r="V84" s="547"/>
      <c r="W84" s="547"/>
      <c r="X84" s="547"/>
    </row>
    <row r="85" spans="1:24" ht="116.25" customHeight="1">
      <c r="A85" s="274"/>
      <c r="B85" s="553" t="s">
        <v>897</v>
      </c>
      <c r="C85" s="705">
        <v>2.4</v>
      </c>
      <c r="D85" s="705">
        <f>D83/D82*100</f>
        <v>1.3035629192478282</v>
      </c>
      <c r="E85" s="700">
        <f t="shared" si="2"/>
        <v>-1.0964370807521717</v>
      </c>
      <c r="F85" s="195">
        <f t="shared" si="3"/>
        <v>54.315121635326179</v>
      </c>
      <c r="G85" s="442" t="s">
        <v>855</v>
      </c>
      <c r="H85" s="355"/>
    </row>
    <row r="86" spans="1:24" s="548" customFormat="1" ht="63">
      <c r="A86" s="273"/>
      <c r="B86" s="552" t="s">
        <v>773</v>
      </c>
      <c r="C86" s="194">
        <v>73.7</v>
      </c>
      <c r="D86" s="781">
        <f>D120*100/23100</f>
        <v>59.835497835497833</v>
      </c>
      <c r="E86" s="781">
        <f t="shared" si="2"/>
        <v>-13.86450216450217</v>
      </c>
      <c r="F86" s="195">
        <f t="shared" si="3"/>
        <v>81.187921079372899</v>
      </c>
      <c r="G86" s="442" t="s">
        <v>898</v>
      </c>
      <c r="H86" s="564"/>
      <c r="I86" s="547"/>
      <c r="J86" s="547"/>
      <c r="K86" s="547"/>
      <c r="L86" s="547"/>
      <c r="M86" s="547"/>
      <c r="N86" s="547"/>
      <c r="O86" s="547"/>
      <c r="P86" s="547"/>
      <c r="Q86" s="547"/>
      <c r="R86" s="547"/>
      <c r="S86" s="547"/>
      <c r="T86" s="547"/>
      <c r="U86" s="547"/>
      <c r="V86" s="547"/>
      <c r="W86" s="547"/>
      <c r="X86" s="547"/>
    </row>
    <row r="87" spans="1:24" s="198" customFormat="1" ht="31.5" customHeight="1">
      <c r="A87" s="274" t="s">
        <v>297</v>
      </c>
      <c r="B87" s="999" t="s">
        <v>443</v>
      </c>
      <c r="C87" s="1000"/>
      <c r="D87" s="1000"/>
      <c r="E87" s="1000"/>
      <c r="F87" s="1000"/>
      <c r="G87" s="1001"/>
      <c r="H87" s="319"/>
      <c r="I87" s="124"/>
      <c r="J87" s="124"/>
      <c r="K87" s="124"/>
      <c r="L87" s="124"/>
      <c r="M87" s="124"/>
      <c r="N87" s="124"/>
      <c r="O87" s="124"/>
      <c r="P87" s="124"/>
      <c r="Q87" s="124"/>
      <c r="R87" s="124"/>
      <c r="S87" s="124"/>
      <c r="T87" s="124"/>
      <c r="U87" s="124"/>
      <c r="V87" s="124"/>
      <c r="W87" s="124"/>
      <c r="X87" s="124"/>
    </row>
    <row r="88" spans="1:24" ht="31.5">
      <c r="A88" s="272"/>
      <c r="B88" s="552" t="s">
        <v>899</v>
      </c>
      <c r="C88" s="754">
        <v>12</v>
      </c>
      <c r="D88" s="754">
        <v>0</v>
      </c>
      <c r="E88" s="754">
        <f t="shared" si="2"/>
        <v>-12</v>
      </c>
      <c r="F88" s="192">
        <f t="shared" si="3"/>
        <v>0</v>
      </c>
      <c r="G88" s="442" t="s">
        <v>775</v>
      </c>
      <c r="H88" s="558"/>
    </row>
    <row r="89" spans="1:24" ht="63">
      <c r="A89" s="273"/>
      <c r="B89" s="552" t="s">
        <v>900</v>
      </c>
      <c r="C89" s="754"/>
      <c r="D89" s="201">
        <v>0</v>
      </c>
      <c r="E89" s="754">
        <f t="shared" si="2"/>
        <v>0</v>
      </c>
      <c r="F89" s="754">
        <v>0</v>
      </c>
      <c r="G89" s="442" t="s">
        <v>691</v>
      </c>
      <c r="H89" s="558"/>
    </row>
    <row r="90" spans="1:24" s="290" customFormat="1">
      <c r="A90" s="372" t="s">
        <v>298</v>
      </c>
      <c r="B90" s="1049" t="s">
        <v>446</v>
      </c>
      <c r="C90" s="1050"/>
      <c r="D90" s="1050"/>
      <c r="E90" s="1050"/>
      <c r="F90" s="1050"/>
      <c r="G90" s="1051"/>
      <c r="H90" s="340"/>
      <c r="I90" s="289"/>
      <c r="J90" s="289"/>
      <c r="K90" s="289"/>
      <c r="L90" s="289"/>
      <c r="M90" s="289"/>
      <c r="N90" s="289"/>
      <c r="O90" s="289"/>
      <c r="P90" s="289"/>
      <c r="Q90" s="289"/>
      <c r="R90" s="289"/>
      <c r="S90" s="289"/>
      <c r="T90" s="289"/>
      <c r="U90" s="289"/>
      <c r="V90" s="289"/>
      <c r="W90" s="289"/>
      <c r="X90" s="289"/>
    </row>
    <row r="91" spans="1:24" s="341" customFormat="1" ht="63">
      <c r="A91" s="376"/>
      <c r="B91" s="763" t="s">
        <v>517</v>
      </c>
      <c r="C91" s="105">
        <f>'звіт ІІІ кв'!E35</f>
        <v>1111.3</v>
      </c>
      <c r="D91" s="105">
        <f>'звіт ІІІ кв'!I35</f>
        <v>1927.78</v>
      </c>
      <c r="E91" s="105">
        <f t="shared" si="2"/>
        <v>816.48</v>
      </c>
      <c r="F91" s="706">
        <f t="shared" si="3"/>
        <v>173.47070997930351</v>
      </c>
      <c r="G91" s="773" t="s">
        <v>901</v>
      </c>
      <c r="H91" s="340"/>
      <c r="I91" s="289"/>
      <c r="J91" s="289"/>
      <c r="K91" s="289"/>
      <c r="L91" s="289"/>
      <c r="M91" s="289"/>
      <c r="N91" s="289"/>
      <c r="O91" s="289"/>
      <c r="P91" s="289"/>
      <c r="Q91" s="289"/>
      <c r="R91" s="289"/>
      <c r="S91" s="289"/>
      <c r="T91" s="289"/>
      <c r="U91" s="289"/>
      <c r="V91" s="289"/>
      <c r="W91" s="289"/>
      <c r="X91" s="289"/>
    </row>
    <row r="92" spans="1:24" s="341" customFormat="1" ht="31.5">
      <c r="A92" s="377"/>
      <c r="B92" s="763" t="s">
        <v>902</v>
      </c>
      <c r="C92" s="68">
        <v>4820</v>
      </c>
      <c r="D92" s="68">
        <v>1029</v>
      </c>
      <c r="E92" s="68">
        <f t="shared" si="2"/>
        <v>-3791</v>
      </c>
      <c r="F92" s="706">
        <f t="shared" si="3"/>
        <v>21.348547717842322</v>
      </c>
      <c r="G92" s="704" t="s">
        <v>940</v>
      </c>
      <c r="H92" s="355"/>
      <c r="I92" s="289"/>
      <c r="J92" s="289"/>
      <c r="K92" s="289"/>
      <c r="L92" s="289"/>
      <c r="M92" s="289"/>
      <c r="N92" s="289"/>
      <c r="O92" s="289"/>
      <c r="P92" s="289"/>
      <c r="Q92" s="289"/>
      <c r="R92" s="289"/>
      <c r="S92" s="289"/>
      <c r="T92" s="289"/>
      <c r="U92" s="289"/>
      <c r="V92" s="289"/>
      <c r="W92" s="289"/>
      <c r="X92" s="289"/>
    </row>
    <row r="93" spans="1:24" s="341" customFormat="1" ht="78.75">
      <c r="A93" s="377"/>
      <c r="B93" s="763" t="s">
        <v>903</v>
      </c>
      <c r="C93" s="68">
        <v>0.23</v>
      </c>
      <c r="D93" s="705" t="s">
        <v>653</v>
      </c>
      <c r="E93" s="705" t="s">
        <v>653</v>
      </c>
      <c r="F93" s="706" t="s">
        <v>653</v>
      </c>
      <c r="G93" s="704" t="s">
        <v>776</v>
      </c>
      <c r="H93" s="340"/>
      <c r="I93" s="289"/>
      <c r="J93" s="289"/>
      <c r="K93" s="289"/>
      <c r="L93" s="289"/>
      <c r="M93" s="289"/>
      <c r="N93" s="289"/>
      <c r="O93" s="289"/>
      <c r="P93" s="289"/>
      <c r="Q93" s="289"/>
      <c r="R93" s="289"/>
      <c r="S93" s="289"/>
      <c r="T93" s="289"/>
      <c r="U93" s="289"/>
      <c r="V93" s="289"/>
      <c r="W93" s="289"/>
      <c r="X93" s="289"/>
    </row>
    <row r="94" spans="1:24" s="341" customFormat="1" ht="47.25">
      <c r="A94" s="378"/>
      <c r="B94" s="763" t="s">
        <v>904</v>
      </c>
      <c r="C94" s="789">
        <v>10</v>
      </c>
      <c r="D94" s="789">
        <f>D92/21419*100</f>
        <v>4.8041458518138107</v>
      </c>
      <c r="E94" s="789">
        <f t="shared" si="2"/>
        <v>-5.1958541481861893</v>
      </c>
      <c r="F94" s="706">
        <f t="shared" si="3"/>
        <v>48.041458518138107</v>
      </c>
      <c r="G94" s="704" t="s">
        <v>730</v>
      </c>
      <c r="H94" s="355"/>
      <c r="I94" s="289"/>
      <c r="J94" s="289"/>
      <c r="K94" s="289"/>
      <c r="L94" s="289"/>
      <c r="M94" s="289"/>
      <c r="N94" s="289"/>
      <c r="O94" s="289"/>
      <c r="P94" s="289"/>
      <c r="Q94" s="289"/>
      <c r="R94" s="289"/>
      <c r="S94" s="289"/>
      <c r="T94" s="289"/>
      <c r="U94" s="289"/>
      <c r="V94" s="289"/>
      <c r="W94" s="289"/>
      <c r="X94" s="289"/>
    </row>
    <row r="95" spans="1:24" s="290" customFormat="1" ht="23.25" customHeight="1">
      <c r="A95" s="374" t="s">
        <v>299</v>
      </c>
      <c r="B95" s="1049" t="s">
        <v>447</v>
      </c>
      <c r="C95" s="1050"/>
      <c r="D95" s="1050"/>
      <c r="E95" s="1050"/>
      <c r="F95" s="1050"/>
      <c r="G95" s="1051"/>
      <c r="H95" s="340"/>
      <c r="I95" s="289"/>
      <c r="J95" s="289"/>
      <c r="K95" s="289"/>
      <c r="L95" s="289"/>
      <c r="M95" s="289"/>
      <c r="N95" s="289"/>
      <c r="O95" s="289"/>
      <c r="P95" s="289"/>
      <c r="Q95" s="289"/>
      <c r="R95" s="289"/>
      <c r="S95" s="289"/>
      <c r="T95" s="289"/>
      <c r="U95" s="289"/>
      <c r="V95" s="289"/>
      <c r="W95" s="289"/>
      <c r="X95" s="289"/>
    </row>
    <row r="96" spans="1:24" s="341" customFormat="1" ht="47.25">
      <c r="A96" s="379"/>
      <c r="B96" s="717" t="s">
        <v>905</v>
      </c>
      <c r="C96" s="68">
        <v>15</v>
      </c>
      <c r="D96" s="68">
        <v>5</v>
      </c>
      <c r="E96" s="68">
        <f t="shared" si="2"/>
        <v>-10</v>
      </c>
      <c r="F96" s="706">
        <f t="shared" si="3"/>
        <v>33.333333333333329</v>
      </c>
      <c r="G96" s="764" t="s">
        <v>400</v>
      </c>
      <c r="H96" s="355"/>
      <c r="I96" s="289"/>
      <c r="J96" s="289"/>
      <c r="K96" s="289"/>
      <c r="L96" s="289"/>
      <c r="M96" s="289"/>
      <c r="N96" s="289"/>
      <c r="O96" s="289"/>
      <c r="P96" s="289"/>
      <c r="Q96" s="289"/>
      <c r="R96" s="289"/>
      <c r="S96" s="289"/>
      <c r="T96" s="289"/>
      <c r="U96" s="289"/>
      <c r="V96" s="289"/>
      <c r="W96" s="289"/>
      <c r="X96" s="289"/>
    </row>
    <row r="97" spans="1:24" s="341" customFormat="1" ht="52.5" customHeight="1">
      <c r="A97" s="379"/>
      <c r="B97" s="717" t="s">
        <v>906</v>
      </c>
      <c r="C97" s="68" t="s">
        <v>653</v>
      </c>
      <c r="D97" s="68" t="s">
        <v>653</v>
      </c>
      <c r="E97" s="68" t="s">
        <v>653</v>
      </c>
      <c r="F97" s="68" t="s">
        <v>653</v>
      </c>
      <c r="G97" s="764" t="s">
        <v>694</v>
      </c>
      <c r="H97" s="355"/>
      <c r="I97" s="289"/>
      <c r="J97" s="289"/>
      <c r="K97" s="289"/>
      <c r="L97" s="289"/>
      <c r="M97" s="289"/>
      <c r="N97" s="289"/>
      <c r="O97" s="289"/>
      <c r="P97" s="289"/>
      <c r="Q97" s="289"/>
      <c r="R97" s="289"/>
      <c r="S97" s="289"/>
      <c r="T97" s="289"/>
      <c r="U97" s="289"/>
      <c r="V97" s="289"/>
      <c r="W97" s="289"/>
      <c r="X97" s="289"/>
    </row>
    <row r="98" spans="1:24" s="341" customFormat="1" ht="20.25" customHeight="1">
      <c r="A98" s="291" t="s">
        <v>306</v>
      </c>
      <c r="B98" s="1052" t="s">
        <v>448</v>
      </c>
      <c r="C98" s="1052"/>
      <c r="D98" s="1052"/>
      <c r="E98" s="1052"/>
      <c r="F98" s="1052"/>
      <c r="G98" s="1052"/>
      <c r="H98" s="340"/>
      <c r="I98" s="289"/>
      <c r="J98" s="289"/>
      <c r="K98" s="289"/>
      <c r="L98" s="289"/>
      <c r="M98" s="289"/>
      <c r="N98" s="289"/>
      <c r="O98" s="289"/>
      <c r="P98" s="289"/>
      <c r="Q98" s="289"/>
      <c r="R98" s="289"/>
      <c r="S98" s="289"/>
      <c r="T98" s="289"/>
      <c r="U98" s="289"/>
      <c r="V98" s="289"/>
      <c r="W98" s="289"/>
      <c r="X98" s="289"/>
    </row>
    <row r="99" spans="1:24" s="341" customFormat="1" ht="31.5">
      <c r="A99" s="392"/>
      <c r="B99" s="763" t="s">
        <v>673</v>
      </c>
      <c r="C99" s="705">
        <f>C101+C106</f>
        <v>539</v>
      </c>
      <c r="D99" s="105">
        <f>'звіт ІІІ кв'!I40</f>
        <v>0</v>
      </c>
      <c r="E99" s="105">
        <f>D99-C99</f>
        <v>-539</v>
      </c>
      <c r="F99" s="706">
        <f>D99/C99*100</f>
        <v>0</v>
      </c>
      <c r="G99" s="704" t="s">
        <v>778</v>
      </c>
      <c r="H99" s="340"/>
      <c r="I99" s="289"/>
      <c r="J99" s="289"/>
      <c r="K99" s="289"/>
      <c r="L99" s="289"/>
      <c r="M99" s="289"/>
      <c r="N99" s="289"/>
      <c r="O99" s="289"/>
      <c r="P99" s="289"/>
      <c r="Q99" s="289"/>
      <c r="R99" s="289"/>
      <c r="S99" s="289"/>
      <c r="T99" s="289"/>
      <c r="U99" s="289"/>
      <c r="V99" s="289"/>
      <c r="W99" s="289"/>
      <c r="X99" s="289"/>
    </row>
    <row r="100" spans="1:24" s="341" customFormat="1">
      <c r="A100" s="381"/>
      <c r="B100" s="1051" t="s">
        <v>100</v>
      </c>
      <c r="C100" s="1052"/>
      <c r="D100" s="1052"/>
      <c r="E100" s="1052"/>
      <c r="F100" s="1052"/>
      <c r="G100" s="1052"/>
      <c r="H100" s="340"/>
      <c r="I100" s="289"/>
      <c r="J100" s="289"/>
      <c r="K100" s="289"/>
      <c r="L100" s="289"/>
      <c r="M100" s="289"/>
      <c r="N100" s="289"/>
      <c r="O100" s="289"/>
      <c r="P100" s="289"/>
      <c r="Q100" s="289"/>
      <c r="R100" s="289"/>
      <c r="S100" s="289"/>
      <c r="T100" s="289"/>
      <c r="U100" s="289"/>
      <c r="V100" s="289"/>
      <c r="W100" s="289"/>
      <c r="X100" s="289"/>
    </row>
    <row r="101" spans="1:24" s="551" customFormat="1" ht="47.25">
      <c r="A101" s="381"/>
      <c r="B101" s="790" t="s">
        <v>449</v>
      </c>
      <c r="C101" s="705">
        <v>488</v>
      </c>
      <c r="D101" s="705">
        <f>'звіт І кв'!I41</f>
        <v>0</v>
      </c>
      <c r="E101" s="705">
        <f>D101-C101</f>
        <v>-488</v>
      </c>
      <c r="F101" s="706">
        <v>0</v>
      </c>
      <c r="G101" s="764" t="s">
        <v>830</v>
      </c>
      <c r="H101" s="565"/>
      <c r="I101" s="550"/>
      <c r="J101" s="550"/>
      <c r="K101" s="550"/>
      <c r="L101" s="550"/>
      <c r="M101" s="550"/>
      <c r="N101" s="550"/>
      <c r="O101" s="550"/>
      <c r="P101" s="550"/>
      <c r="Q101" s="550"/>
      <c r="R101" s="550"/>
      <c r="S101" s="550"/>
      <c r="T101" s="550"/>
      <c r="U101" s="550"/>
      <c r="V101" s="550"/>
      <c r="W101" s="550"/>
      <c r="X101" s="550"/>
    </row>
    <row r="102" spans="1:24" s="551" customFormat="1" ht="63">
      <c r="A102" s="381"/>
      <c r="B102" s="790" t="s">
        <v>450</v>
      </c>
      <c r="C102" s="68">
        <v>400</v>
      </c>
      <c r="D102" s="68">
        <v>131</v>
      </c>
      <c r="E102" s="705">
        <f>D102-C102</f>
        <v>-269</v>
      </c>
      <c r="F102" s="706">
        <f>D102/C102*100</f>
        <v>32.75</v>
      </c>
      <c r="G102" s="764" t="s">
        <v>779</v>
      </c>
      <c r="H102" s="565"/>
      <c r="I102" s="550"/>
      <c r="J102" s="550"/>
      <c r="K102" s="550"/>
      <c r="L102" s="550"/>
      <c r="M102" s="550"/>
      <c r="N102" s="550"/>
      <c r="O102" s="550"/>
      <c r="P102" s="550"/>
      <c r="Q102" s="550"/>
      <c r="R102" s="550"/>
      <c r="S102" s="550"/>
      <c r="T102" s="550"/>
      <c r="U102" s="550"/>
      <c r="V102" s="550"/>
      <c r="W102" s="550"/>
      <c r="X102" s="550"/>
    </row>
    <row r="103" spans="1:24" s="551" customFormat="1" ht="47.25">
      <c r="A103" s="381"/>
      <c r="B103" s="790" t="s">
        <v>451</v>
      </c>
      <c r="C103" s="68">
        <f>C101/C102</f>
        <v>1.22</v>
      </c>
      <c r="D103" s="705" t="s">
        <v>653</v>
      </c>
      <c r="E103" s="705" t="s">
        <v>653</v>
      </c>
      <c r="F103" s="706" t="s">
        <v>653</v>
      </c>
      <c r="G103" s="764" t="s">
        <v>696</v>
      </c>
      <c r="H103" s="565"/>
      <c r="I103" s="550"/>
      <c r="J103" s="550"/>
      <c r="K103" s="550"/>
      <c r="L103" s="550"/>
      <c r="M103" s="550"/>
      <c r="N103" s="550"/>
      <c r="O103" s="550"/>
      <c r="P103" s="550"/>
      <c r="Q103" s="550"/>
      <c r="R103" s="550"/>
      <c r="S103" s="550"/>
      <c r="T103" s="550"/>
      <c r="U103" s="550"/>
      <c r="V103" s="550"/>
      <c r="W103" s="550"/>
      <c r="X103" s="550"/>
    </row>
    <row r="104" spans="1:24" s="551" customFormat="1" ht="47.25">
      <c r="A104" s="381"/>
      <c r="B104" s="790" t="s">
        <v>452</v>
      </c>
      <c r="C104" s="765">
        <v>86.1</v>
      </c>
      <c r="D104" s="791">
        <v>100</v>
      </c>
      <c r="E104" s="792">
        <f>D104-C104</f>
        <v>13.900000000000006</v>
      </c>
      <c r="F104" s="706">
        <f>D104/C104*100</f>
        <v>116.14401858304298</v>
      </c>
      <c r="G104" s="764" t="s">
        <v>582</v>
      </c>
      <c r="H104" s="549"/>
      <c r="I104" s="550"/>
      <c r="J104" s="550"/>
      <c r="K104" s="550"/>
      <c r="L104" s="550"/>
      <c r="M104" s="550"/>
      <c r="N104" s="550"/>
      <c r="O104" s="550"/>
      <c r="P104" s="550"/>
      <c r="Q104" s="550"/>
      <c r="R104" s="550"/>
      <c r="S104" s="550"/>
      <c r="T104" s="550"/>
      <c r="U104" s="550"/>
      <c r="V104" s="550"/>
      <c r="W104" s="550"/>
      <c r="X104" s="550"/>
    </row>
    <row r="105" spans="1:24" s="566" customFormat="1" ht="18" customHeight="1">
      <c r="A105" s="382"/>
      <c r="B105" s="1053" t="s">
        <v>101</v>
      </c>
      <c r="C105" s="1053"/>
      <c r="D105" s="1053"/>
      <c r="E105" s="1053"/>
      <c r="F105" s="1053"/>
      <c r="G105" s="1054"/>
      <c r="H105" s="565"/>
      <c r="I105" s="550"/>
      <c r="J105" s="550"/>
      <c r="K105" s="550"/>
      <c r="L105" s="550"/>
      <c r="M105" s="550"/>
      <c r="N105" s="550"/>
      <c r="O105" s="550"/>
      <c r="P105" s="550"/>
      <c r="Q105" s="550"/>
      <c r="R105" s="550"/>
      <c r="S105" s="550"/>
      <c r="T105" s="550"/>
      <c r="U105" s="550"/>
      <c r="V105" s="550"/>
      <c r="W105" s="550"/>
      <c r="X105" s="550"/>
    </row>
    <row r="106" spans="1:24" s="551" customFormat="1" ht="47.25">
      <c r="A106" s="381"/>
      <c r="B106" s="703" t="s">
        <v>453</v>
      </c>
      <c r="C106" s="707">
        <f>'звіт ІІІ кв'!E42</f>
        <v>51</v>
      </c>
      <c r="D106" s="707">
        <f>'звіт ІІІ кв'!L42</f>
        <v>0</v>
      </c>
      <c r="E106" s="712">
        <f>D106-C106</f>
        <v>-51</v>
      </c>
      <c r="F106" s="712">
        <f>D106/C106*100</f>
        <v>0</v>
      </c>
      <c r="G106" s="764" t="s">
        <v>847</v>
      </c>
      <c r="H106" s="565"/>
      <c r="I106" s="550"/>
      <c r="J106" s="550"/>
      <c r="K106" s="550"/>
      <c r="L106" s="550"/>
      <c r="M106" s="550"/>
      <c r="N106" s="550"/>
      <c r="O106" s="550"/>
      <c r="P106" s="550"/>
      <c r="Q106" s="550"/>
      <c r="R106" s="550"/>
      <c r="S106" s="550"/>
      <c r="T106" s="550"/>
      <c r="U106" s="550"/>
      <c r="V106" s="550"/>
      <c r="W106" s="550"/>
      <c r="X106" s="550"/>
    </row>
    <row r="107" spans="1:24" s="551" customFormat="1" ht="63">
      <c r="A107" s="381"/>
      <c r="B107" s="703" t="s">
        <v>454</v>
      </c>
      <c r="C107" s="791">
        <v>40</v>
      </c>
      <c r="D107" s="791">
        <v>195</v>
      </c>
      <c r="E107" s="793">
        <f>D107-C107</f>
        <v>155</v>
      </c>
      <c r="F107" s="712">
        <f>D107/C107*100</f>
        <v>487.5</v>
      </c>
      <c r="G107" s="764" t="s">
        <v>779</v>
      </c>
      <c r="H107" s="565"/>
      <c r="I107" s="550"/>
      <c r="J107" s="550"/>
      <c r="K107" s="550"/>
      <c r="L107" s="550"/>
      <c r="M107" s="550"/>
      <c r="N107" s="550"/>
      <c r="O107" s="550"/>
      <c r="P107" s="550"/>
      <c r="Q107" s="550"/>
      <c r="R107" s="550"/>
      <c r="S107" s="550"/>
      <c r="T107" s="550"/>
      <c r="U107" s="550"/>
      <c r="V107" s="550"/>
      <c r="W107" s="550"/>
      <c r="X107" s="550"/>
    </row>
    <row r="108" spans="1:24" s="551" customFormat="1" ht="47.25">
      <c r="A108" s="381"/>
      <c r="B108" s="703" t="s">
        <v>451</v>
      </c>
      <c r="C108" s="765">
        <f>C106/C107</f>
        <v>1.2749999999999999</v>
      </c>
      <c r="D108" s="765">
        <v>0</v>
      </c>
      <c r="E108" s="712">
        <v>0</v>
      </c>
      <c r="F108" s="712">
        <f>D108/C108*100</f>
        <v>0</v>
      </c>
      <c r="G108" s="764" t="s">
        <v>696</v>
      </c>
      <c r="H108" s="565"/>
      <c r="I108" s="550"/>
      <c r="J108" s="550"/>
      <c r="K108" s="550"/>
      <c r="L108" s="550"/>
      <c r="M108" s="550"/>
      <c r="N108" s="550"/>
      <c r="O108" s="550"/>
      <c r="P108" s="550"/>
      <c r="Q108" s="550"/>
      <c r="R108" s="550"/>
      <c r="S108" s="550"/>
      <c r="T108" s="550"/>
      <c r="U108" s="550"/>
      <c r="V108" s="550"/>
      <c r="W108" s="550"/>
      <c r="X108" s="550"/>
    </row>
    <row r="109" spans="1:24" s="551" customFormat="1" ht="63">
      <c r="A109" s="383"/>
      <c r="B109" s="703" t="s">
        <v>581</v>
      </c>
      <c r="C109" s="765">
        <v>53.9</v>
      </c>
      <c r="D109" s="791">
        <v>100</v>
      </c>
      <c r="E109" s="768">
        <f>D109-C109</f>
        <v>46.1</v>
      </c>
      <c r="F109" s="712">
        <f>D109/C109*100</f>
        <v>185.5287569573284</v>
      </c>
      <c r="G109" s="764" t="s">
        <v>657</v>
      </c>
      <c r="H109" s="549"/>
      <c r="I109" s="550"/>
      <c r="J109" s="550"/>
      <c r="K109" s="550"/>
      <c r="L109" s="550"/>
      <c r="M109" s="550"/>
      <c r="N109" s="550"/>
      <c r="O109" s="550"/>
      <c r="P109" s="550"/>
      <c r="Q109" s="550"/>
      <c r="R109" s="550"/>
      <c r="S109" s="550"/>
      <c r="T109" s="550"/>
      <c r="U109" s="550"/>
      <c r="V109" s="550"/>
      <c r="W109" s="550"/>
      <c r="X109" s="550"/>
    </row>
    <row r="110" spans="1:24" s="341" customFormat="1">
      <c r="A110" s="585" t="s">
        <v>103</v>
      </c>
      <c r="B110" s="1080" t="s">
        <v>102</v>
      </c>
      <c r="C110" s="1081"/>
      <c r="D110" s="1081"/>
      <c r="E110" s="1081"/>
      <c r="F110" s="1081"/>
      <c r="G110" s="1082"/>
      <c r="H110" s="340"/>
      <c r="I110" s="289"/>
      <c r="J110" s="289"/>
      <c r="K110" s="289"/>
      <c r="L110" s="289"/>
      <c r="M110" s="289"/>
      <c r="N110" s="289"/>
      <c r="O110" s="289"/>
      <c r="P110" s="289"/>
      <c r="Q110" s="289"/>
      <c r="R110" s="289"/>
      <c r="S110" s="289"/>
      <c r="T110" s="289"/>
      <c r="U110" s="289"/>
      <c r="V110" s="289"/>
      <c r="W110" s="289"/>
      <c r="X110" s="289"/>
    </row>
    <row r="111" spans="1:24" ht="33.75" customHeight="1">
      <c r="A111" s="212" t="s">
        <v>105</v>
      </c>
      <c r="B111" s="999" t="s">
        <v>455</v>
      </c>
      <c r="C111" s="1000"/>
      <c r="D111" s="1000"/>
      <c r="E111" s="1000"/>
      <c r="F111" s="1000"/>
      <c r="G111" s="1001"/>
    </row>
    <row r="112" spans="1:24" ht="47.25">
      <c r="A112" s="212"/>
      <c r="B112" s="747" t="s">
        <v>456</v>
      </c>
      <c r="C112" s="368"/>
      <c r="D112" s="368"/>
      <c r="E112" s="275"/>
      <c r="F112" s="275"/>
      <c r="G112" s="750"/>
    </row>
    <row r="113" spans="1:24" s="341" customFormat="1" ht="141.75">
      <c r="A113" s="382"/>
      <c r="B113" s="790" t="s">
        <v>907</v>
      </c>
      <c r="C113" s="105">
        <f>'звіт ІІІ кв'!F45</f>
        <v>830.95</v>
      </c>
      <c r="D113" s="746">
        <f>'звіт ІІІ кв'!J45</f>
        <v>672.23</v>
      </c>
      <c r="E113" s="705">
        <f t="shared" ref="E113:E121" si="4">D113-C113</f>
        <v>-158.72000000000003</v>
      </c>
      <c r="F113" s="706">
        <f t="shared" ref="F113:F121" si="5">D113/C113*100</f>
        <v>80.898971057223662</v>
      </c>
      <c r="G113" s="701" t="s">
        <v>908</v>
      </c>
      <c r="H113" s="340"/>
      <c r="I113" s="289"/>
      <c r="J113" s="289"/>
      <c r="K113" s="289"/>
      <c r="L113" s="289"/>
      <c r="M113" s="289"/>
      <c r="N113" s="289"/>
      <c r="O113" s="289"/>
      <c r="P113" s="289"/>
      <c r="Q113" s="289"/>
      <c r="R113" s="289"/>
      <c r="S113" s="289"/>
      <c r="T113" s="289"/>
      <c r="U113" s="289"/>
      <c r="V113" s="289"/>
      <c r="W113" s="289"/>
      <c r="X113" s="289"/>
    </row>
    <row r="114" spans="1:24" s="341" customFormat="1" ht="63">
      <c r="A114" s="382"/>
      <c r="B114" s="790" t="s">
        <v>909</v>
      </c>
      <c r="C114" s="68">
        <v>4800</v>
      </c>
      <c r="D114" s="744">
        <v>2401</v>
      </c>
      <c r="E114" s="706">
        <f t="shared" si="4"/>
        <v>-2399</v>
      </c>
      <c r="F114" s="706">
        <f t="shared" si="5"/>
        <v>50.020833333333336</v>
      </c>
      <c r="G114" s="701" t="s">
        <v>731</v>
      </c>
      <c r="H114" s="355"/>
      <c r="I114" s="289"/>
      <c r="J114" s="289"/>
      <c r="K114" s="289"/>
      <c r="L114" s="289"/>
      <c r="M114" s="289"/>
      <c r="N114" s="289"/>
      <c r="O114" s="289"/>
      <c r="P114" s="289"/>
      <c r="Q114" s="289"/>
      <c r="R114" s="289"/>
      <c r="S114" s="289"/>
      <c r="T114" s="289"/>
      <c r="U114" s="289"/>
      <c r="V114" s="289"/>
      <c r="W114" s="289"/>
      <c r="X114" s="289"/>
    </row>
    <row r="115" spans="1:24" s="341" customFormat="1" ht="126">
      <c r="A115" s="382"/>
      <c r="B115" s="790" t="s">
        <v>910</v>
      </c>
      <c r="C115" s="705">
        <f>'звіт ІІІ кв'!G45</f>
        <v>0</v>
      </c>
      <c r="D115" s="705">
        <f>'звіт ІІІ кв'!K45</f>
        <v>0</v>
      </c>
      <c r="E115" s="705">
        <f t="shared" si="4"/>
        <v>0</v>
      </c>
      <c r="F115" s="706" t="e">
        <f>D115/C115*100</f>
        <v>#DIV/0!</v>
      </c>
      <c r="G115" s="701" t="s">
        <v>781</v>
      </c>
      <c r="H115" s="340"/>
      <c r="I115" s="289"/>
      <c r="J115" s="289"/>
      <c r="K115" s="289"/>
      <c r="L115" s="289"/>
      <c r="M115" s="289"/>
      <c r="N115" s="289"/>
      <c r="O115" s="289"/>
      <c r="P115" s="289"/>
      <c r="Q115" s="289"/>
      <c r="R115" s="289"/>
      <c r="S115" s="289"/>
      <c r="T115" s="289"/>
      <c r="U115" s="289"/>
      <c r="V115" s="289"/>
      <c r="W115" s="289"/>
      <c r="X115" s="289"/>
    </row>
    <row r="116" spans="1:24" s="341" customFormat="1" ht="126">
      <c r="A116" s="382"/>
      <c r="B116" s="790" t="s">
        <v>911</v>
      </c>
      <c r="C116" s="706">
        <v>3360</v>
      </c>
      <c r="D116" s="706">
        <v>0</v>
      </c>
      <c r="E116" s="706">
        <f t="shared" si="4"/>
        <v>-3360</v>
      </c>
      <c r="F116" s="706">
        <f t="shared" si="5"/>
        <v>0</v>
      </c>
      <c r="G116" s="701" t="s">
        <v>840</v>
      </c>
      <c r="H116" s="355"/>
      <c r="I116" s="289"/>
      <c r="J116" s="289"/>
      <c r="K116" s="289"/>
      <c r="L116" s="289"/>
      <c r="M116" s="289"/>
      <c r="N116" s="289"/>
      <c r="O116" s="289"/>
      <c r="P116" s="289"/>
      <c r="Q116" s="289"/>
      <c r="R116" s="289"/>
      <c r="S116" s="289"/>
      <c r="T116" s="289"/>
      <c r="U116" s="289"/>
      <c r="V116" s="289"/>
      <c r="W116" s="289"/>
      <c r="X116" s="289"/>
    </row>
    <row r="117" spans="1:24" ht="78.75">
      <c r="A117" s="208"/>
      <c r="B117" s="553" t="s">
        <v>912</v>
      </c>
      <c r="C117" s="195">
        <v>2800</v>
      </c>
      <c r="D117" s="195">
        <v>1407</v>
      </c>
      <c r="E117" s="195">
        <f t="shared" si="4"/>
        <v>-1393</v>
      </c>
      <c r="F117" s="195">
        <f t="shared" si="5"/>
        <v>50.249999999999993</v>
      </c>
      <c r="G117" s="701" t="s">
        <v>848</v>
      </c>
      <c r="H117" s="558"/>
    </row>
    <row r="118" spans="1:24" ht="31.5">
      <c r="A118" s="208"/>
      <c r="B118" s="553" t="s">
        <v>913</v>
      </c>
      <c r="C118" s="700">
        <f>(C113+C115)/C117</f>
        <v>0.29676785714285714</v>
      </c>
      <c r="D118" s="700">
        <f>(D113+D115)/D117</f>
        <v>0.47777540867093105</v>
      </c>
      <c r="E118" s="700">
        <f t="shared" si="4"/>
        <v>0.18100755152807391</v>
      </c>
      <c r="F118" s="195">
        <f t="shared" si="5"/>
        <v>160.99297722830579</v>
      </c>
      <c r="G118" s="442" t="s">
        <v>714</v>
      </c>
    </row>
    <row r="119" spans="1:24" s="548" customFormat="1" ht="78.75">
      <c r="A119" s="208"/>
      <c r="B119" s="553" t="s">
        <v>733</v>
      </c>
      <c r="C119" s="781">
        <v>83</v>
      </c>
      <c r="D119" s="781">
        <f>D117/2845*100</f>
        <v>49.45518453427065</v>
      </c>
      <c r="E119" s="781">
        <f>D119-C119</f>
        <v>-33.54481546572935</v>
      </c>
      <c r="F119" s="195">
        <f>D119/C119*100</f>
        <v>59.584559679844148</v>
      </c>
      <c r="G119" s="442" t="s">
        <v>857</v>
      </c>
      <c r="H119" s="546"/>
      <c r="I119" s="547"/>
      <c r="J119" s="547"/>
      <c r="K119" s="547"/>
      <c r="L119" s="547"/>
      <c r="M119" s="547"/>
      <c r="N119" s="547"/>
      <c r="O119" s="547"/>
      <c r="P119" s="547"/>
      <c r="Q119" s="547"/>
      <c r="R119" s="547"/>
      <c r="S119" s="547"/>
      <c r="T119" s="547"/>
      <c r="U119" s="547"/>
      <c r="V119" s="547"/>
      <c r="W119" s="547"/>
      <c r="X119" s="547"/>
    </row>
    <row r="120" spans="1:24" ht="63">
      <c r="A120" s="208"/>
      <c r="B120" s="553" t="s">
        <v>914</v>
      </c>
      <c r="C120" s="195">
        <v>17900</v>
      </c>
      <c r="D120" s="195">
        <v>13822</v>
      </c>
      <c r="E120" s="195">
        <f t="shared" si="4"/>
        <v>-4078</v>
      </c>
      <c r="F120" s="195">
        <f t="shared" si="5"/>
        <v>77.217877094972067</v>
      </c>
      <c r="G120" s="442" t="s">
        <v>734</v>
      </c>
    </row>
    <row r="121" spans="1:24" ht="63">
      <c r="A121" s="208"/>
      <c r="B121" s="553" t="s">
        <v>915</v>
      </c>
      <c r="C121" s="781">
        <v>73.7</v>
      </c>
      <c r="D121" s="781">
        <f>D120*100/23100</f>
        <v>59.835497835497833</v>
      </c>
      <c r="E121" s="781">
        <f t="shared" si="4"/>
        <v>-13.86450216450217</v>
      </c>
      <c r="F121" s="781">
        <f t="shared" si="5"/>
        <v>81.187921079372899</v>
      </c>
      <c r="G121" s="442" t="s">
        <v>734</v>
      </c>
    </row>
    <row r="122" spans="1:24" ht="51.75" customHeight="1">
      <c r="A122" s="208"/>
      <c r="B122" s="794" t="s">
        <v>466</v>
      </c>
      <c r="C122" s="705"/>
      <c r="D122" s="705"/>
      <c r="E122" s="700"/>
      <c r="F122" s="195"/>
      <c r="G122" s="442"/>
      <c r="I122" s="277"/>
      <c r="J122" s="277"/>
      <c r="K122" s="277"/>
      <c r="L122" s="277"/>
      <c r="M122" s="277"/>
      <c r="N122" s="277"/>
      <c r="O122" s="277"/>
      <c r="P122" s="277"/>
      <c r="Q122" s="277"/>
      <c r="R122" s="277"/>
      <c r="S122" s="277"/>
      <c r="T122" s="277"/>
      <c r="U122" s="277"/>
      <c r="V122" s="277"/>
      <c r="W122" s="277"/>
      <c r="X122" s="277"/>
    </row>
    <row r="123" spans="1:24" ht="129.75" customHeight="1">
      <c r="A123" s="208"/>
      <c r="B123" s="783" t="s">
        <v>916</v>
      </c>
      <c r="C123" s="700"/>
      <c r="D123" s="195">
        <v>608</v>
      </c>
      <c r="E123" s="795">
        <f>D123-C123</f>
        <v>608</v>
      </c>
      <c r="F123" s="195">
        <v>100</v>
      </c>
      <c r="G123" s="442" t="s">
        <v>850</v>
      </c>
    </row>
    <row r="124" spans="1:24" s="548" customFormat="1" ht="63">
      <c r="A124" s="208"/>
      <c r="B124" s="783" t="s">
        <v>735</v>
      </c>
      <c r="C124" s="781">
        <v>60</v>
      </c>
      <c r="D124" s="781">
        <f>D123*100/441</f>
        <v>137.86848072562358</v>
      </c>
      <c r="E124" s="781">
        <f>D124-C124</f>
        <v>77.868480725623584</v>
      </c>
      <c r="F124" s="781">
        <f>D124/C124*100</f>
        <v>229.78080120937264</v>
      </c>
      <c r="G124" s="701" t="s">
        <v>856</v>
      </c>
      <c r="H124" s="546"/>
      <c r="I124" s="547"/>
      <c r="J124" s="547"/>
      <c r="K124" s="547"/>
      <c r="L124" s="547"/>
      <c r="M124" s="547"/>
      <c r="N124" s="547"/>
      <c r="O124" s="547"/>
      <c r="P124" s="547"/>
      <c r="Q124" s="547"/>
      <c r="R124" s="547"/>
      <c r="S124" s="547"/>
      <c r="T124" s="547"/>
      <c r="U124" s="547"/>
      <c r="V124" s="547"/>
      <c r="W124" s="547"/>
      <c r="X124" s="547"/>
    </row>
    <row r="125" spans="1:24" ht="31.5">
      <c r="A125" s="208"/>
      <c r="B125" s="748" t="s">
        <v>569</v>
      </c>
      <c r="C125" s="705"/>
      <c r="D125" s="705"/>
      <c r="E125" s="195"/>
      <c r="F125" s="195"/>
      <c r="G125" s="442"/>
    </row>
    <row r="126" spans="1:24" s="548" customFormat="1" ht="192.75" customHeight="1">
      <c r="A126" s="208"/>
      <c r="B126" s="783" t="s">
        <v>737</v>
      </c>
      <c r="C126" s="195">
        <v>1344</v>
      </c>
      <c r="D126" s="195">
        <v>39</v>
      </c>
      <c r="E126" s="195">
        <f>D126-C126</f>
        <v>-1305</v>
      </c>
      <c r="F126" s="781">
        <f>D126/C126*100</f>
        <v>2.9017857142857144</v>
      </c>
      <c r="G126" s="773" t="s">
        <v>858</v>
      </c>
      <c r="H126" s="546"/>
      <c r="I126" s="547"/>
      <c r="J126" s="547"/>
      <c r="K126" s="547"/>
      <c r="L126" s="547"/>
      <c r="M126" s="547"/>
      <c r="N126" s="547"/>
      <c r="O126" s="547"/>
      <c r="P126" s="547"/>
      <c r="Q126" s="547"/>
      <c r="R126" s="547"/>
      <c r="S126" s="547"/>
      <c r="T126" s="547"/>
      <c r="U126" s="547"/>
      <c r="V126" s="547"/>
      <c r="W126" s="547"/>
      <c r="X126" s="547"/>
    </row>
    <row r="127" spans="1:24" s="548" customFormat="1" ht="78.75">
      <c r="A127" s="208"/>
      <c r="B127" s="553" t="s">
        <v>738</v>
      </c>
      <c r="C127" s="700">
        <v>40</v>
      </c>
      <c r="D127" s="700">
        <f>790*100/12304</f>
        <v>6.4206762028608582</v>
      </c>
      <c r="E127" s="700">
        <f>D127-C127</f>
        <v>-33.579323797139139</v>
      </c>
      <c r="F127" s="781">
        <f>D127/C127*100</f>
        <v>16.051690507152145</v>
      </c>
      <c r="G127" s="773" t="s">
        <v>842</v>
      </c>
      <c r="H127" s="546"/>
      <c r="I127" s="547"/>
      <c r="J127" s="547"/>
      <c r="K127" s="547"/>
      <c r="L127" s="547"/>
      <c r="M127" s="547"/>
      <c r="N127" s="547"/>
      <c r="O127" s="547"/>
      <c r="P127" s="547"/>
      <c r="Q127" s="547"/>
      <c r="R127" s="547"/>
      <c r="S127" s="547"/>
      <c r="T127" s="547"/>
      <c r="U127" s="547"/>
      <c r="V127" s="547"/>
      <c r="W127" s="547"/>
      <c r="X127" s="547"/>
    </row>
    <row r="128" spans="1:24" ht="94.5">
      <c r="A128" s="208"/>
      <c r="B128" s="702" t="s">
        <v>470</v>
      </c>
      <c r="C128" s="194"/>
      <c r="D128" s="194"/>
      <c r="E128" s="195"/>
      <c r="F128" s="195"/>
      <c r="G128" s="773"/>
    </row>
    <row r="129" spans="1:24" s="341" customFormat="1" ht="63">
      <c r="A129" s="382"/>
      <c r="B129" s="790" t="s">
        <v>453</v>
      </c>
      <c r="C129" s="105">
        <f>'звіт ІІІ кв'!E48</f>
        <v>12900</v>
      </c>
      <c r="D129" s="105">
        <f>'звіт ІІІ кв'!L48</f>
        <v>1392.5663</v>
      </c>
      <c r="E129" s="105">
        <f>D129-C129</f>
        <v>-11507.4337</v>
      </c>
      <c r="F129" s="706">
        <f>D129/C129*100</f>
        <v>10.795087596899226</v>
      </c>
      <c r="G129" s="773" t="s">
        <v>917</v>
      </c>
      <c r="H129" s="340"/>
      <c r="I129" s="289"/>
      <c r="J129" s="289"/>
      <c r="K129" s="289"/>
      <c r="L129" s="289"/>
      <c r="M129" s="289"/>
      <c r="N129" s="289"/>
      <c r="O129" s="289"/>
      <c r="P129" s="289"/>
      <c r="Q129" s="289"/>
      <c r="R129" s="289"/>
      <c r="S129" s="289"/>
      <c r="T129" s="289"/>
      <c r="U129" s="289"/>
      <c r="V129" s="289"/>
      <c r="W129" s="289"/>
      <c r="X129" s="289"/>
    </row>
    <row r="130" spans="1:24" s="341" customFormat="1" ht="47.25">
      <c r="A130" s="382"/>
      <c r="B130" s="790" t="s">
        <v>918</v>
      </c>
      <c r="C130" s="68">
        <v>700</v>
      </c>
      <c r="D130" s="68">
        <v>971</v>
      </c>
      <c r="E130" s="105">
        <f>D130-C130</f>
        <v>271</v>
      </c>
      <c r="F130" s="706">
        <f>D130/C130*100</f>
        <v>138.71428571428572</v>
      </c>
      <c r="G130" s="701" t="s">
        <v>941</v>
      </c>
      <c r="H130" s="340"/>
      <c r="I130" s="289"/>
      <c r="J130" s="289"/>
      <c r="K130" s="289"/>
      <c r="L130" s="289"/>
      <c r="M130" s="289"/>
      <c r="N130" s="289"/>
      <c r="O130" s="289"/>
      <c r="P130" s="289"/>
      <c r="Q130" s="289"/>
      <c r="R130" s="289"/>
      <c r="S130" s="289"/>
      <c r="T130" s="289"/>
      <c r="U130" s="289"/>
      <c r="V130" s="289"/>
      <c r="W130" s="289"/>
      <c r="X130" s="289"/>
    </row>
    <row r="131" spans="1:24" ht="31.5">
      <c r="A131" s="208"/>
      <c r="B131" s="783" t="s">
        <v>919</v>
      </c>
      <c r="C131" s="705">
        <f>C129/C130</f>
        <v>18.428571428571427</v>
      </c>
      <c r="D131" s="705">
        <f>D129/D130</f>
        <v>1.4341568486096807</v>
      </c>
      <c r="E131" s="757">
        <f>D131-C131</f>
        <v>-16.994414579961745</v>
      </c>
      <c r="F131" s="195">
        <f>D131/C131*100</f>
        <v>7.7822464653238494</v>
      </c>
      <c r="G131" s="701" t="s">
        <v>941</v>
      </c>
    </row>
    <row r="132" spans="1:24" s="548" customFormat="1" ht="47.25">
      <c r="A132" s="208"/>
      <c r="B132" s="783" t="s">
        <v>743</v>
      </c>
      <c r="C132" s="705">
        <v>80</v>
      </c>
      <c r="D132" s="796">
        <f>D130*100/1029</f>
        <v>94.363459669582113</v>
      </c>
      <c r="E132" s="757">
        <f>D132-C132</f>
        <v>14.363459669582113</v>
      </c>
      <c r="F132" s="195">
        <f>D132/C132*100</f>
        <v>117.95432458697763</v>
      </c>
      <c r="G132" s="701" t="s">
        <v>941</v>
      </c>
      <c r="H132" s="546"/>
      <c r="I132" s="547"/>
      <c r="J132" s="547"/>
      <c r="K132" s="547"/>
      <c r="L132" s="547"/>
      <c r="M132" s="547"/>
      <c r="N132" s="547"/>
      <c r="O132" s="547"/>
      <c r="P132" s="547"/>
      <c r="Q132" s="547"/>
      <c r="R132" s="547"/>
      <c r="S132" s="547"/>
      <c r="T132" s="547"/>
      <c r="U132" s="547"/>
      <c r="V132" s="547"/>
      <c r="W132" s="547"/>
      <c r="X132" s="547"/>
    </row>
    <row r="133" spans="1:24" s="149" customFormat="1" ht="35.25" customHeight="1">
      <c r="A133" s="208"/>
      <c r="B133" s="747" t="s">
        <v>475</v>
      </c>
      <c r="C133" s="710"/>
      <c r="D133" s="710"/>
      <c r="E133" s="709"/>
      <c r="F133" s="709"/>
      <c r="G133" s="750"/>
      <c r="H133" s="319"/>
      <c r="I133" s="124"/>
      <c r="J133" s="124"/>
      <c r="K133" s="124"/>
      <c r="L133" s="124"/>
      <c r="M133" s="124"/>
      <c r="N133" s="124"/>
      <c r="O133" s="124"/>
      <c r="P133" s="124"/>
      <c r="Q133" s="124"/>
      <c r="R133" s="124"/>
      <c r="S133" s="124"/>
      <c r="T133" s="124"/>
      <c r="U133" s="124"/>
      <c r="V133" s="124"/>
      <c r="W133" s="124"/>
      <c r="X133" s="124"/>
    </row>
    <row r="134" spans="1:24" s="551" customFormat="1" ht="145.5" customHeight="1">
      <c r="A134" s="381"/>
      <c r="B134" s="790" t="s">
        <v>476</v>
      </c>
      <c r="C134" s="712">
        <v>1507</v>
      </c>
      <c r="D134" s="712">
        <v>107</v>
      </c>
      <c r="E134" s="712">
        <f>D134-C134</f>
        <v>-1400</v>
      </c>
      <c r="F134" s="712">
        <f>D134/C134*100</f>
        <v>7.1001990710019909</v>
      </c>
      <c r="G134" s="764" t="s">
        <v>841</v>
      </c>
      <c r="H134" s="565"/>
      <c r="I134" s="550"/>
      <c r="J134" s="550"/>
      <c r="K134" s="550"/>
      <c r="L134" s="550"/>
      <c r="M134" s="550"/>
      <c r="N134" s="550"/>
      <c r="O134" s="550"/>
      <c r="P134" s="550"/>
      <c r="Q134" s="550"/>
      <c r="R134" s="550"/>
      <c r="S134" s="550"/>
      <c r="T134" s="550"/>
      <c r="U134" s="550"/>
      <c r="V134" s="550"/>
      <c r="W134" s="550"/>
      <c r="X134" s="550"/>
    </row>
    <row r="135" spans="1:24" s="551" customFormat="1" ht="47.25">
      <c r="A135" s="383"/>
      <c r="B135" s="790" t="s">
        <v>477</v>
      </c>
      <c r="C135" s="791">
        <v>50</v>
      </c>
      <c r="D135" s="766">
        <f>D134/D117*100</f>
        <v>7.6048329779673063</v>
      </c>
      <c r="E135" s="712">
        <f>D135-C135</f>
        <v>-42.395167022032695</v>
      </c>
      <c r="F135" s="712">
        <f>D135/C135*100</f>
        <v>15.209665955934613</v>
      </c>
      <c r="G135" s="764" t="s">
        <v>849</v>
      </c>
      <c r="H135" s="565"/>
      <c r="I135" s="550"/>
      <c r="J135" s="550"/>
      <c r="K135" s="550"/>
      <c r="L135" s="550"/>
      <c r="M135" s="550"/>
      <c r="N135" s="550"/>
      <c r="O135" s="550"/>
      <c r="P135" s="550"/>
      <c r="Q135" s="550"/>
      <c r="R135" s="550"/>
      <c r="S135" s="550"/>
      <c r="T135" s="550"/>
      <c r="U135" s="550"/>
      <c r="V135" s="550"/>
      <c r="W135" s="550"/>
      <c r="X135" s="550"/>
    </row>
    <row r="136" spans="1:24" ht="25.5" customHeight="1">
      <c r="A136" s="699" t="s">
        <v>329</v>
      </c>
      <c r="B136" s="999" t="s">
        <v>478</v>
      </c>
      <c r="C136" s="1000"/>
      <c r="D136" s="1000"/>
      <c r="E136" s="1000"/>
      <c r="F136" s="1000"/>
      <c r="G136" s="1001"/>
    </row>
    <row r="137" spans="1:24" s="341" customFormat="1" ht="31.5">
      <c r="A137" s="760"/>
      <c r="B137" s="703" t="s">
        <v>920</v>
      </c>
      <c r="C137" s="105">
        <v>1046.93</v>
      </c>
      <c r="D137" s="785">
        <f>'звіт ІІІ кв'!I50</f>
        <v>217.7</v>
      </c>
      <c r="E137" s="712">
        <f>D137-C137</f>
        <v>-829.23</v>
      </c>
      <c r="F137" s="712">
        <f>D137/C137*100</f>
        <v>20.794131412797416</v>
      </c>
      <c r="G137" s="797" t="s">
        <v>786</v>
      </c>
      <c r="H137" s="340"/>
      <c r="I137" s="289"/>
      <c r="J137" s="289"/>
      <c r="K137" s="289"/>
      <c r="L137" s="289"/>
      <c r="M137" s="289"/>
      <c r="N137" s="289"/>
      <c r="O137" s="289"/>
      <c r="P137" s="289"/>
      <c r="Q137" s="289"/>
      <c r="R137" s="289"/>
      <c r="S137" s="289"/>
      <c r="T137" s="289"/>
      <c r="U137" s="289"/>
      <c r="V137" s="289"/>
      <c r="W137" s="289"/>
      <c r="X137" s="289"/>
    </row>
    <row r="138" spans="1:24" s="341" customFormat="1" ht="47.25">
      <c r="A138" s="761"/>
      <c r="B138" s="703" t="s">
        <v>921</v>
      </c>
      <c r="C138" s="68">
        <v>1120</v>
      </c>
      <c r="D138" s="798">
        <v>1407</v>
      </c>
      <c r="E138" s="712">
        <f>D138-C138</f>
        <v>287</v>
      </c>
      <c r="F138" s="712">
        <f>D138/C138*100</f>
        <v>125.62500000000001</v>
      </c>
      <c r="G138" s="764" t="s">
        <v>603</v>
      </c>
      <c r="H138" s="340"/>
      <c r="I138" s="289"/>
      <c r="J138" s="289"/>
      <c r="K138" s="289"/>
      <c r="L138" s="289"/>
      <c r="M138" s="289"/>
      <c r="N138" s="289"/>
      <c r="O138" s="289"/>
      <c r="P138" s="289"/>
      <c r="Q138" s="289"/>
      <c r="R138" s="289"/>
      <c r="S138" s="289"/>
      <c r="T138" s="289"/>
      <c r="U138" s="289"/>
      <c r="V138" s="289"/>
      <c r="W138" s="289"/>
      <c r="X138" s="289"/>
    </row>
    <row r="139" spans="1:24" s="341" customFormat="1" ht="47.25">
      <c r="A139" s="761"/>
      <c r="B139" s="703" t="s">
        <v>922</v>
      </c>
      <c r="C139" s="705">
        <f>C137/C138</f>
        <v>0.93475892857142862</v>
      </c>
      <c r="D139" s="799">
        <f>D137/D138</f>
        <v>0.15472636815920396</v>
      </c>
      <c r="E139" s="707">
        <f>D139-C139</f>
        <v>-0.78003256041222468</v>
      </c>
      <c r="F139" s="712">
        <f>D139/C139*100</f>
        <v>16.552542418147194</v>
      </c>
      <c r="G139" s="764" t="s">
        <v>787</v>
      </c>
      <c r="H139" s="340"/>
      <c r="I139" s="289"/>
      <c r="J139" s="289"/>
      <c r="K139" s="289"/>
      <c r="L139" s="289"/>
      <c r="M139" s="289"/>
      <c r="N139" s="289"/>
      <c r="O139" s="289"/>
      <c r="P139" s="289"/>
      <c r="Q139" s="289"/>
      <c r="R139" s="289"/>
      <c r="S139" s="289"/>
      <c r="T139" s="289"/>
      <c r="U139" s="289"/>
      <c r="V139" s="289"/>
      <c r="W139" s="289"/>
      <c r="X139" s="289"/>
    </row>
    <row r="140" spans="1:24" s="341" customFormat="1" ht="78.75">
      <c r="A140" s="762"/>
      <c r="B140" s="703" t="s">
        <v>923</v>
      </c>
      <c r="C140" s="68">
        <v>40</v>
      </c>
      <c r="D140" s="800">
        <f>D138/D117*100</f>
        <v>100</v>
      </c>
      <c r="E140" s="801">
        <f>D140-C140</f>
        <v>60</v>
      </c>
      <c r="F140" s="712">
        <f>D140/C140*100</f>
        <v>250</v>
      </c>
      <c r="G140" s="764" t="s">
        <v>702</v>
      </c>
      <c r="H140" s="340"/>
      <c r="I140" s="289"/>
      <c r="J140" s="289"/>
      <c r="K140" s="289"/>
      <c r="L140" s="289"/>
      <c r="M140" s="289"/>
      <c r="N140" s="289"/>
      <c r="O140" s="289"/>
      <c r="P140" s="289"/>
      <c r="Q140" s="289"/>
      <c r="R140" s="289"/>
      <c r="S140" s="289"/>
      <c r="T140" s="289"/>
      <c r="U140" s="289"/>
      <c r="V140" s="289"/>
      <c r="W140" s="289"/>
      <c r="X140" s="289"/>
    </row>
    <row r="141" spans="1:24" s="341" customFormat="1" ht="38.25" customHeight="1">
      <c r="A141" s="382" t="s">
        <v>333</v>
      </c>
      <c r="B141" s="1049" t="s">
        <v>114</v>
      </c>
      <c r="C141" s="1050"/>
      <c r="D141" s="1050"/>
      <c r="E141" s="1050"/>
      <c r="F141" s="1050"/>
      <c r="G141" s="1051"/>
      <c r="H141" s="340"/>
      <c r="I141" s="289"/>
      <c r="J141" s="289"/>
      <c r="K141" s="289"/>
      <c r="L141" s="289"/>
      <c r="M141" s="289"/>
      <c r="N141" s="289"/>
      <c r="O141" s="289"/>
      <c r="P141" s="289"/>
      <c r="Q141" s="289"/>
      <c r="R141" s="289"/>
      <c r="S141" s="289"/>
      <c r="T141" s="289"/>
      <c r="U141" s="289"/>
      <c r="V141" s="289"/>
      <c r="W141" s="289"/>
      <c r="X141" s="289"/>
    </row>
    <row r="142" spans="1:24" s="341" customFormat="1" ht="87" customHeight="1">
      <c r="A142" s="384"/>
      <c r="B142" s="763" t="s">
        <v>517</v>
      </c>
      <c r="C142" s="105">
        <f>'звіт ІІІ кв'!E51</f>
        <v>1179.22</v>
      </c>
      <c r="D142" s="707">
        <f>'звіт ІІІ кв'!I51</f>
        <v>1613.8440000000001</v>
      </c>
      <c r="E142" s="712">
        <f>D142-C142</f>
        <v>434.62400000000002</v>
      </c>
      <c r="F142" s="712">
        <f>D142/C142*100</f>
        <v>136.85690541205204</v>
      </c>
      <c r="G142" s="764" t="s">
        <v>924</v>
      </c>
      <c r="H142" s="340"/>
      <c r="I142" s="289"/>
      <c r="J142" s="289"/>
      <c r="K142" s="289"/>
      <c r="L142" s="289"/>
      <c r="M142" s="289"/>
      <c r="N142" s="289"/>
      <c r="O142" s="289"/>
      <c r="P142" s="289"/>
      <c r="Q142" s="289"/>
      <c r="R142" s="289"/>
      <c r="S142" s="289"/>
      <c r="T142" s="289"/>
      <c r="U142" s="289"/>
      <c r="V142" s="289"/>
      <c r="W142" s="289"/>
      <c r="X142" s="289"/>
    </row>
    <row r="143" spans="1:24" s="341" customFormat="1" ht="78.75">
      <c r="A143" s="381"/>
      <c r="B143" s="763" t="s">
        <v>925</v>
      </c>
      <c r="C143" s="68">
        <v>2800</v>
      </c>
      <c r="D143" s="791">
        <v>1546</v>
      </c>
      <c r="E143" s="712">
        <f>D143-C143</f>
        <v>-1254</v>
      </c>
      <c r="F143" s="712">
        <f>D143/C143*100</f>
        <v>55.214285714285715</v>
      </c>
      <c r="G143" s="764" t="s">
        <v>788</v>
      </c>
      <c r="H143" s="340"/>
      <c r="I143" s="289"/>
      <c r="J143" s="289"/>
      <c r="K143" s="289"/>
      <c r="L143" s="289"/>
      <c r="M143" s="289"/>
      <c r="N143" s="289"/>
      <c r="O143" s="289"/>
      <c r="P143" s="289"/>
      <c r="Q143" s="289"/>
      <c r="R143" s="289"/>
      <c r="S143" s="289"/>
      <c r="T143" s="289"/>
      <c r="U143" s="289"/>
      <c r="V143" s="289"/>
      <c r="W143" s="289"/>
      <c r="X143" s="289"/>
    </row>
    <row r="144" spans="1:24" s="341" customFormat="1" ht="47.25">
      <c r="A144" s="381"/>
      <c r="B144" s="763" t="s">
        <v>926</v>
      </c>
      <c r="C144" s="705">
        <f>C142/C143</f>
        <v>0.42115000000000002</v>
      </c>
      <c r="D144" s="705">
        <f>D142/D143</f>
        <v>1.0438835705045277</v>
      </c>
      <c r="E144" s="707">
        <f>D144-C144</f>
        <v>0.62273357050452771</v>
      </c>
      <c r="F144" s="712">
        <f>D144/C144*100</f>
        <v>247.86502920682122</v>
      </c>
      <c r="G144" s="764" t="s">
        <v>787</v>
      </c>
      <c r="H144" s="340"/>
      <c r="I144" s="289"/>
      <c r="J144" s="289"/>
      <c r="K144" s="289"/>
      <c r="L144" s="289"/>
      <c r="M144" s="289"/>
      <c r="N144" s="289"/>
      <c r="O144" s="289"/>
      <c r="P144" s="289"/>
      <c r="Q144" s="289"/>
      <c r="R144" s="289"/>
      <c r="S144" s="289"/>
      <c r="T144" s="289"/>
      <c r="U144" s="289"/>
      <c r="V144" s="289"/>
      <c r="W144" s="289"/>
      <c r="X144" s="289"/>
    </row>
    <row r="145" spans="1:24" s="341" customFormat="1" ht="78.75">
      <c r="A145" s="383"/>
      <c r="B145" s="763" t="s">
        <v>927</v>
      </c>
      <c r="C145" s="68">
        <v>100</v>
      </c>
      <c r="D145" s="791">
        <v>100</v>
      </c>
      <c r="E145" s="712">
        <f>D145-C145</f>
        <v>0</v>
      </c>
      <c r="F145" s="712">
        <f>D145/C145*100</f>
        <v>100</v>
      </c>
      <c r="G145" s="764" t="s">
        <v>703</v>
      </c>
      <c r="H145" s="340"/>
      <c r="I145" s="289"/>
      <c r="J145" s="289"/>
      <c r="K145" s="289"/>
      <c r="L145" s="289"/>
      <c r="M145" s="289"/>
      <c r="N145" s="289"/>
      <c r="O145" s="289"/>
      <c r="P145" s="289"/>
      <c r="Q145" s="289"/>
      <c r="R145" s="289"/>
      <c r="S145" s="289"/>
      <c r="T145" s="289"/>
      <c r="U145" s="289"/>
      <c r="V145" s="289"/>
      <c r="W145" s="289"/>
      <c r="X145" s="289"/>
    </row>
    <row r="146" spans="1:24" ht="21" customHeight="1">
      <c r="A146" s="208" t="s">
        <v>339</v>
      </c>
      <c r="B146" s="999" t="s">
        <v>486</v>
      </c>
      <c r="C146" s="1000"/>
      <c r="D146" s="1000"/>
      <c r="E146" s="1000"/>
      <c r="F146" s="1000"/>
      <c r="G146" s="1001"/>
    </row>
    <row r="147" spans="1:24" s="341" customFormat="1" ht="63">
      <c r="A147" s="384"/>
      <c r="B147" s="763" t="s">
        <v>517</v>
      </c>
      <c r="C147" s="105">
        <f>'звіт ІІІ кв'!E57</f>
        <v>3945.4290000000001</v>
      </c>
      <c r="D147" s="707">
        <f>'звіт ІІІ кв'!I57</f>
        <v>1793.4250000000002</v>
      </c>
      <c r="E147" s="712">
        <f>D147-C147</f>
        <v>-2152.0039999999999</v>
      </c>
      <c r="F147" s="712">
        <f>D147/C147*100</f>
        <v>45.455766660609029</v>
      </c>
      <c r="G147" s="764" t="s">
        <v>928</v>
      </c>
      <c r="H147" s="389"/>
      <c r="I147" s="390"/>
      <c r="J147" s="390"/>
      <c r="K147" s="390"/>
      <c r="L147" s="390"/>
      <c r="M147" s="390"/>
      <c r="N147" s="390"/>
      <c r="O147" s="390"/>
      <c r="P147" s="390"/>
      <c r="Q147" s="390"/>
      <c r="R147" s="390"/>
      <c r="S147" s="390"/>
      <c r="T147" s="390"/>
      <c r="U147" s="390"/>
      <c r="V147" s="390"/>
      <c r="W147" s="390"/>
      <c r="X147" s="390"/>
    </row>
    <row r="148" spans="1:24" s="350" customFormat="1">
      <c r="A148" s="382"/>
      <c r="B148" s="802" t="s">
        <v>124</v>
      </c>
      <c r="C148" s="447"/>
      <c r="D148" s="447"/>
      <c r="E148" s="332"/>
      <c r="F148" s="332"/>
      <c r="G148" s="570"/>
      <c r="H148" s="571"/>
      <c r="I148" s="572"/>
      <c r="J148" s="572"/>
      <c r="K148" s="572"/>
      <c r="L148" s="572"/>
      <c r="M148" s="572"/>
      <c r="N148" s="572"/>
      <c r="O148" s="572"/>
      <c r="P148" s="572"/>
      <c r="Q148" s="572"/>
      <c r="R148" s="572"/>
      <c r="S148" s="572"/>
      <c r="T148" s="572"/>
      <c r="U148" s="572"/>
      <c r="V148" s="572"/>
      <c r="W148" s="572"/>
      <c r="X148" s="572"/>
    </row>
    <row r="149" spans="1:24" s="341" customFormat="1" ht="47.25">
      <c r="A149" s="381"/>
      <c r="B149" s="703" t="s">
        <v>488</v>
      </c>
      <c r="C149" s="68">
        <v>2000</v>
      </c>
      <c r="D149" s="791">
        <v>1698</v>
      </c>
      <c r="E149" s="712">
        <f t="shared" ref="E149:E159" si="6">D149-C149</f>
        <v>-302</v>
      </c>
      <c r="F149" s="712">
        <f t="shared" ref="F149:F159" si="7">D149/C149*100</f>
        <v>84.899999999999991</v>
      </c>
      <c r="G149" s="443" t="s">
        <v>791</v>
      </c>
      <c r="H149" s="389"/>
      <c r="I149" s="390"/>
      <c r="J149" s="390"/>
      <c r="K149" s="390"/>
      <c r="L149" s="390"/>
      <c r="M149" s="390"/>
      <c r="N149" s="390"/>
      <c r="O149" s="390"/>
      <c r="P149" s="390"/>
      <c r="Q149" s="390"/>
      <c r="R149" s="390"/>
      <c r="S149" s="390"/>
      <c r="T149" s="390"/>
      <c r="U149" s="390"/>
      <c r="V149" s="390"/>
      <c r="W149" s="390"/>
      <c r="X149" s="390"/>
    </row>
    <row r="150" spans="1:24" s="350" customFormat="1">
      <c r="A150" s="382"/>
      <c r="B150" s="803" t="s">
        <v>125</v>
      </c>
      <c r="C150" s="718"/>
      <c r="D150" s="718"/>
      <c r="E150" s="712"/>
      <c r="F150" s="712"/>
      <c r="G150" s="570"/>
      <c r="H150" s="571"/>
      <c r="I150" s="572"/>
      <c r="J150" s="572"/>
      <c r="K150" s="572"/>
      <c r="L150" s="572"/>
      <c r="M150" s="572"/>
      <c r="N150" s="572"/>
      <c r="O150" s="572"/>
      <c r="P150" s="572"/>
      <c r="Q150" s="572"/>
      <c r="R150" s="572"/>
      <c r="S150" s="572"/>
      <c r="T150" s="572"/>
      <c r="U150" s="572"/>
      <c r="V150" s="572"/>
      <c r="W150" s="572"/>
      <c r="X150" s="572"/>
    </row>
    <row r="151" spans="1:24" s="341" customFormat="1" ht="47.25">
      <c r="A151" s="381"/>
      <c r="B151" s="703" t="s">
        <v>489</v>
      </c>
      <c r="C151" s="68">
        <v>1000</v>
      </c>
      <c r="D151" s="791">
        <v>1656</v>
      </c>
      <c r="E151" s="712">
        <f t="shared" si="6"/>
        <v>656</v>
      </c>
      <c r="F151" s="712">
        <f t="shared" si="7"/>
        <v>165.6</v>
      </c>
      <c r="G151" s="764" t="s">
        <v>791</v>
      </c>
      <c r="H151" s="389"/>
      <c r="I151" s="390"/>
      <c r="J151" s="390"/>
      <c r="K151" s="390"/>
      <c r="L151" s="390"/>
      <c r="M151" s="390"/>
      <c r="N151" s="390"/>
      <c r="O151" s="390"/>
      <c r="P151" s="390"/>
      <c r="Q151" s="390"/>
      <c r="R151" s="390"/>
      <c r="S151" s="390"/>
      <c r="T151" s="390"/>
      <c r="U151" s="390"/>
      <c r="V151" s="390"/>
      <c r="W151" s="390"/>
      <c r="X151" s="390"/>
    </row>
    <row r="152" spans="1:24" s="350" customFormat="1">
      <c r="A152" s="382"/>
      <c r="B152" s="803" t="s">
        <v>126</v>
      </c>
      <c r="C152" s="718"/>
      <c r="D152" s="718"/>
      <c r="E152" s="712"/>
      <c r="F152" s="712"/>
      <c r="G152" s="719"/>
      <c r="H152" s="571"/>
      <c r="I152" s="572"/>
      <c r="J152" s="572"/>
      <c r="K152" s="572"/>
      <c r="L152" s="572"/>
      <c r="M152" s="572"/>
      <c r="N152" s="572"/>
      <c r="O152" s="572"/>
      <c r="P152" s="572"/>
      <c r="Q152" s="572"/>
      <c r="R152" s="572"/>
      <c r="S152" s="572"/>
      <c r="T152" s="572"/>
      <c r="U152" s="572"/>
      <c r="V152" s="572"/>
      <c r="W152" s="572"/>
      <c r="X152" s="572"/>
    </row>
    <row r="153" spans="1:24" s="341" customFormat="1" ht="47.25">
      <c r="A153" s="381"/>
      <c r="B153" s="703" t="s">
        <v>490</v>
      </c>
      <c r="C153" s="68">
        <v>75</v>
      </c>
      <c r="D153" s="791">
        <v>315</v>
      </c>
      <c r="E153" s="801">
        <f t="shared" si="6"/>
        <v>240</v>
      </c>
      <c r="F153" s="712">
        <f t="shared" si="7"/>
        <v>420</v>
      </c>
      <c r="G153" s="764" t="s">
        <v>603</v>
      </c>
      <c r="H153" s="389"/>
      <c r="I153" s="390"/>
      <c r="J153" s="390"/>
      <c r="K153" s="390"/>
      <c r="L153" s="390"/>
      <c r="M153" s="390"/>
      <c r="N153" s="390"/>
      <c r="O153" s="390"/>
      <c r="P153" s="390"/>
      <c r="Q153" s="390"/>
      <c r="R153" s="390"/>
      <c r="S153" s="390"/>
      <c r="T153" s="390"/>
      <c r="U153" s="390"/>
      <c r="V153" s="390"/>
      <c r="W153" s="390"/>
      <c r="X153" s="390"/>
    </row>
    <row r="154" spans="1:24" s="350" customFormat="1">
      <c r="A154" s="382"/>
      <c r="B154" s="803" t="s">
        <v>127</v>
      </c>
      <c r="C154" s="718"/>
      <c r="D154" s="718"/>
      <c r="E154" s="712"/>
      <c r="F154" s="712"/>
      <c r="G154" s="719"/>
      <c r="H154" s="571"/>
      <c r="I154" s="572"/>
      <c r="J154" s="572"/>
      <c r="K154" s="572"/>
      <c r="L154" s="572"/>
      <c r="M154" s="572"/>
      <c r="N154" s="572"/>
      <c r="O154" s="572"/>
      <c r="P154" s="572"/>
      <c r="Q154" s="572"/>
      <c r="R154" s="572"/>
      <c r="S154" s="572"/>
      <c r="T154" s="572"/>
      <c r="U154" s="572"/>
      <c r="V154" s="572"/>
      <c r="W154" s="572"/>
      <c r="X154" s="572"/>
    </row>
    <row r="155" spans="1:24" s="341" customFormat="1" ht="47.25">
      <c r="A155" s="381"/>
      <c r="B155" s="703" t="s">
        <v>491</v>
      </c>
      <c r="C155" s="68">
        <v>75</v>
      </c>
      <c r="D155" s="791">
        <v>224</v>
      </c>
      <c r="E155" s="712">
        <f t="shared" si="6"/>
        <v>149</v>
      </c>
      <c r="F155" s="712">
        <f t="shared" si="7"/>
        <v>298.66666666666669</v>
      </c>
      <c r="G155" s="764" t="s">
        <v>603</v>
      </c>
      <c r="H155" s="389"/>
      <c r="I155" s="390"/>
      <c r="J155" s="390"/>
      <c r="K155" s="390"/>
      <c r="L155" s="390"/>
      <c r="M155" s="390"/>
      <c r="N155" s="390"/>
      <c r="O155" s="390"/>
      <c r="P155" s="390"/>
      <c r="Q155" s="390"/>
      <c r="R155" s="390"/>
      <c r="S155" s="390"/>
      <c r="T155" s="390"/>
      <c r="U155" s="390"/>
      <c r="V155" s="390"/>
      <c r="W155" s="390"/>
      <c r="X155" s="390"/>
    </row>
    <row r="156" spans="1:24" s="290" customFormat="1">
      <c r="A156" s="573"/>
      <c r="B156" s="802" t="s">
        <v>128</v>
      </c>
      <c r="C156" s="449"/>
      <c r="D156" s="418"/>
      <c r="E156" s="332"/>
      <c r="F156" s="332"/>
      <c r="G156" s="568"/>
      <c r="H156" s="574"/>
      <c r="I156" s="575"/>
      <c r="J156" s="575"/>
      <c r="K156" s="575"/>
      <c r="L156" s="575"/>
      <c r="M156" s="575"/>
      <c r="N156" s="575"/>
      <c r="O156" s="575"/>
      <c r="P156" s="575"/>
      <c r="Q156" s="575"/>
      <c r="R156" s="575"/>
      <c r="S156" s="575"/>
      <c r="T156" s="575"/>
      <c r="U156" s="575"/>
      <c r="V156" s="575"/>
      <c r="W156" s="575"/>
      <c r="X156" s="575"/>
    </row>
    <row r="157" spans="1:24" s="341" customFormat="1" ht="78.75">
      <c r="A157" s="381"/>
      <c r="B157" s="767" t="s">
        <v>929</v>
      </c>
      <c r="C157" s="68">
        <v>432</v>
      </c>
      <c r="D157" s="791">
        <v>3386</v>
      </c>
      <c r="E157" s="801">
        <f t="shared" si="6"/>
        <v>2954</v>
      </c>
      <c r="F157" s="712">
        <f t="shared" si="7"/>
        <v>783.7962962962963</v>
      </c>
      <c r="G157" s="704" t="s">
        <v>719</v>
      </c>
      <c r="H157" s="340"/>
      <c r="I157" s="289"/>
      <c r="J157" s="289"/>
      <c r="K157" s="289"/>
      <c r="L157" s="289"/>
      <c r="M157" s="289"/>
      <c r="N157" s="289"/>
      <c r="O157" s="289"/>
      <c r="P157" s="289"/>
      <c r="Q157" s="289"/>
      <c r="R157" s="289"/>
      <c r="S157" s="289"/>
      <c r="T157" s="289"/>
      <c r="U157" s="289"/>
      <c r="V157" s="289"/>
      <c r="W157" s="289"/>
      <c r="X157" s="289"/>
    </row>
    <row r="158" spans="1:24" ht="47.25">
      <c r="A158" s="209"/>
      <c r="B158" s="771" t="s">
        <v>930</v>
      </c>
      <c r="C158" s="705">
        <v>0.2</v>
      </c>
      <c r="D158" s="765">
        <f>D147/(D149+D151+D153+D155+D157)</f>
        <v>0.24638343179008107</v>
      </c>
      <c r="E158" s="772">
        <f t="shared" si="6"/>
        <v>4.6383431790081059E-2</v>
      </c>
      <c r="F158" s="121">
        <f t="shared" si="7"/>
        <v>123.19171589504052</v>
      </c>
      <c r="G158" s="704" t="s">
        <v>787</v>
      </c>
    </row>
    <row r="159" spans="1:24" s="548" customFormat="1" ht="63">
      <c r="A159" s="210"/>
      <c r="B159" s="771" t="s">
        <v>721</v>
      </c>
      <c r="C159" s="705">
        <v>55</v>
      </c>
      <c r="D159" s="765">
        <f>1562/(D149+D151+D153+D155+D157)*100</f>
        <v>21.458991619727986</v>
      </c>
      <c r="E159" s="778">
        <f t="shared" si="6"/>
        <v>-33.541008380272018</v>
      </c>
      <c r="F159" s="780">
        <f t="shared" si="7"/>
        <v>39.016348399505432</v>
      </c>
      <c r="G159" s="704" t="s">
        <v>859</v>
      </c>
      <c r="H159" s="546"/>
      <c r="I159" s="547"/>
      <c r="J159" s="547"/>
      <c r="K159" s="547"/>
      <c r="L159" s="547"/>
      <c r="M159" s="547"/>
      <c r="N159" s="547"/>
      <c r="O159" s="547"/>
      <c r="P159" s="547"/>
      <c r="Q159" s="547"/>
      <c r="R159" s="547"/>
      <c r="S159" s="547"/>
      <c r="T159" s="547"/>
      <c r="U159" s="547"/>
      <c r="V159" s="547"/>
      <c r="W159" s="547"/>
      <c r="X159" s="547"/>
    </row>
    <row r="160" spans="1:24" ht="36.75" customHeight="1">
      <c r="A160" s="212" t="s">
        <v>343</v>
      </c>
      <c r="B160" s="999" t="s">
        <v>495</v>
      </c>
      <c r="C160" s="1000"/>
      <c r="D160" s="1000"/>
      <c r="E160" s="1000"/>
      <c r="F160" s="1000"/>
      <c r="G160" s="1001"/>
    </row>
    <row r="161" spans="1:24" s="341" customFormat="1">
      <c r="A161" s="384"/>
      <c r="B161" s="446" t="s">
        <v>517</v>
      </c>
      <c r="C161" s="330">
        <f>'звіт ІІІ кв'!E63</f>
        <v>237.5</v>
      </c>
      <c r="D161" s="391">
        <f>'звіт ІІІ кв'!I63</f>
        <v>0</v>
      </c>
      <c r="E161" s="346">
        <f>D161-C161</f>
        <v>-237.5</v>
      </c>
      <c r="F161" s="332">
        <f>D161/C161*100</f>
        <v>0</v>
      </c>
      <c r="G161" s="443" t="s">
        <v>792</v>
      </c>
      <c r="H161" s="340"/>
      <c r="I161" s="289"/>
      <c r="J161" s="289"/>
      <c r="K161" s="289"/>
      <c r="L161" s="289"/>
      <c r="M161" s="289"/>
      <c r="N161" s="289"/>
      <c r="O161" s="289"/>
      <c r="P161" s="289"/>
      <c r="Q161" s="289"/>
      <c r="R161" s="289"/>
      <c r="S161" s="289"/>
      <c r="T161" s="289"/>
      <c r="U161" s="289"/>
      <c r="V161" s="289"/>
      <c r="W161" s="289"/>
      <c r="X161" s="289"/>
    </row>
    <row r="162" spans="1:24" ht="78.75">
      <c r="A162" s="209"/>
      <c r="B162" s="774" t="s">
        <v>931</v>
      </c>
      <c r="C162" s="68">
        <v>40</v>
      </c>
      <c r="D162" s="791">
        <v>27</v>
      </c>
      <c r="E162" s="121">
        <f>D162-C162</f>
        <v>-13</v>
      </c>
      <c r="F162" s="121">
        <f>D162/C162*100</f>
        <v>67.5</v>
      </c>
      <c r="G162" s="773" t="s">
        <v>661</v>
      </c>
    </row>
    <row r="163" spans="1:24" ht="31.5">
      <c r="A163" s="209"/>
      <c r="B163" s="774" t="s">
        <v>932</v>
      </c>
      <c r="C163" s="705">
        <f>C161/C162</f>
        <v>5.9375</v>
      </c>
      <c r="D163" s="765">
        <f>D161/D162</f>
        <v>0</v>
      </c>
      <c r="E163" s="772">
        <f>D163-C163</f>
        <v>-5.9375</v>
      </c>
      <c r="F163" s="121">
        <f>D163/C163*100</f>
        <v>0</v>
      </c>
      <c r="G163" s="764" t="s">
        <v>793</v>
      </c>
    </row>
    <row r="164" spans="1:24" ht="84" customHeight="1">
      <c r="A164" s="210"/>
      <c r="B164" s="774" t="s">
        <v>933</v>
      </c>
      <c r="C164" s="68">
        <v>95</v>
      </c>
      <c r="D164" s="766">
        <f>D162/31*100</f>
        <v>87.096774193548384</v>
      </c>
      <c r="E164" s="121">
        <f>D164-C164</f>
        <v>-7.9032258064516157</v>
      </c>
      <c r="F164" s="121">
        <f>D164/C164*100</f>
        <v>91.68081494057725</v>
      </c>
      <c r="G164" s="773" t="s">
        <v>661</v>
      </c>
    </row>
    <row r="165" spans="1:24" s="341" customFormat="1">
      <c r="A165" s="586" t="s">
        <v>132</v>
      </c>
      <c r="B165" s="1083" t="s">
        <v>131</v>
      </c>
      <c r="C165" s="1084"/>
      <c r="D165" s="1084"/>
      <c r="E165" s="1081"/>
      <c r="F165" s="1081"/>
      <c r="G165" s="1082"/>
      <c r="H165" s="340"/>
      <c r="I165" s="289"/>
      <c r="J165" s="289"/>
      <c r="K165" s="289"/>
      <c r="L165" s="289"/>
      <c r="M165" s="289"/>
      <c r="N165" s="289"/>
      <c r="O165" s="289"/>
      <c r="P165" s="289"/>
      <c r="Q165" s="289"/>
      <c r="R165" s="289"/>
      <c r="S165" s="289"/>
      <c r="T165" s="289"/>
      <c r="U165" s="289"/>
      <c r="V165" s="289"/>
      <c r="W165" s="289"/>
      <c r="X165" s="289"/>
    </row>
    <row r="166" spans="1:24" s="149" customFormat="1">
      <c r="A166" s="212" t="s">
        <v>135</v>
      </c>
      <c r="B166" s="999" t="s">
        <v>499</v>
      </c>
      <c r="C166" s="1000"/>
      <c r="D166" s="1000"/>
      <c r="E166" s="1000"/>
      <c r="F166" s="1000"/>
      <c r="G166" s="1001"/>
      <c r="H166" s="319"/>
      <c r="I166" s="124"/>
      <c r="J166" s="124"/>
      <c r="K166" s="124"/>
      <c r="L166" s="124"/>
      <c r="M166" s="124"/>
      <c r="N166" s="124"/>
      <c r="O166" s="124"/>
      <c r="P166" s="124"/>
      <c r="Q166" s="124"/>
      <c r="R166" s="124"/>
      <c r="S166" s="124"/>
      <c r="T166" s="124"/>
      <c r="U166" s="124"/>
      <c r="V166" s="124"/>
      <c r="W166" s="124"/>
      <c r="X166" s="124"/>
    </row>
    <row r="167" spans="1:24" s="350" customFormat="1" ht="141.75">
      <c r="A167" s="392"/>
      <c r="B167" s="767" t="s">
        <v>196</v>
      </c>
      <c r="C167" s="105">
        <f>'звіт ІІІ кв'!E66</f>
        <v>188433.41999999998</v>
      </c>
      <c r="D167" s="105">
        <f>'звіт ІІІ кв'!I65</f>
        <v>42576.46</v>
      </c>
      <c r="E167" s="105">
        <f>D167-C167</f>
        <v>-145856.95999999999</v>
      </c>
      <c r="F167" s="706">
        <f>D167/C167*100</f>
        <v>22.594962188766729</v>
      </c>
      <c r="G167" s="325" t="s">
        <v>934</v>
      </c>
      <c r="H167" s="576"/>
      <c r="I167" s="289"/>
      <c r="J167" s="289"/>
      <c r="K167" s="289"/>
      <c r="L167" s="289"/>
      <c r="M167" s="289"/>
      <c r="N167" s="289"/>
      <c r="O167" s="289"/>
      <c r="P167" s="289"/>
      <c r="Q167" s="289"/>
      <c r="R167" s="289"/>
      <c r="S167" s="289"/>
      <c r="T167" s="289"/>
      <c r="U167" s="289"/>
      <c r="V167" s="289"/>
      <c r="W167" s="289"/>
      <c r="X167" s="289"/>
    </row>
    <row r="168" spans="1:24" s="149" customFormat="1" ht="63">
      <c r="A168" s="208"/>
      <c r="B168" s="702" t="s">
        <v>500</v>
      </c>
      <c r="C168" s="710"/>
      <c r="D168" s="710"/>
      <c r="E168" s="757"/>
      <c r="F168" s="194"/>
      <c r="G168" s="714"/>
      <c r="H168" s="319"/>
      <c r="I168" s="124"/>
      <c r="J168" s="124"/>
      <c r="K168" s="124"/>
      <c r="L168" s="124"/>
      <c r="M168" s="124"/>
      <c r="N168" s="124"/>
      <c r="O168" s="124"/>
      <c r="P168" s="124"/>
      <c r="Q168" s="124"/>
      <c r="R168" s="124"/>
      <c r="S168" s="124"/>
      <c r="T168" s="124"/>
      <c r="U168" s="124"/>
      <c r="V168" s="124"/>
      <c r="W168" s="124"/>
      <c r="X168" s="124"/>
    </row>
    <row r="169" spans="1:24" s="341" customFormat="1" ht="31.5">
      <c r="A169" s="381"/>
      <c r="B169" s="767" t="s">
        <v>501</v>
      </c>
      <c r="C169" s="712">
        <v>15704</v>
      </c>
      <c r="D169" s="712">
        <v>9370</v>
      </c>
      <c r="E169" s="804">
        <f>D169-C169</f>
        <v>-6334</v>
      </c>
      <c r="F169" s="706">
        <f t="shared" ref="F169:F177" si="8">D169/C169*100</f>
        <v>59.666327050433011</v>
      </c>
      <c r="G169" s="704" t="s">
        <v>832</v>
      </c>
      <c r="H169" s="340"/>
      <c r="I169" s="289"/>
      <c r="J169" s="289"/>
      <c r="K169" s="289"/>
      <c r="L169" s="289"/>
      <c r="M169" s="289"/>
      <c r="N169" s="289"/>
      <c r="O169" s="289"/>
      <c r="P169" s="289"/>
      <c r="Q169" s="289"/>
      <c r="R169" s="289"/>
      <c r="S169" s="289"/>
      <c r="T169" s="289"/>
      <c r="U169" s="289"/>
      <c r="V169" s="289"/>
      <c r="W169" s="289"/>
      <c r="X169" s="289"/>
    </row>
    <row r="170" spans="1:24" s="551" customFormat="1" ht="63">
      <c r="A170" s="381"/>
      <c r="B170" s="767" t="s">
        <v>502</v>
      </c>
      <c r="C170" s="712">
        <v>3000</v>
      </c>
      <c r="D170" s="712">
        <v>1685</v>
      </c>
      <c r="E170" s="105">
        <f>D170-C170</f>
        <v>-1315</v>
      </c>
      <c r="F170" s="706">
        <f t="shared" si="8"/>
        <v>56.166666666666664</v>
      </c>
      <c r="G170" s="704" t="s">
        <v>795</v>
      </c>
      <c r="H170" s="565"/>
      <c r="I170" s="550"/>
      <c r="J170" s="550"/>
      <c r="K170" s="550"/>
      <c r="L170" s="550"/>
      <c r="M170" s="550"/>
      <c r="N170" s="550"/>
      <c r="O170" s="550"/>
      <c r="P170" s="550"/>
      <c r="Q170" s="550"/>
      <c r="R170" s="550"/>
      <c r="S170" s="550"/>
      <c r="T170" s="550"/>
      <c r="U170" s="550"/>
      <c r="V170" s="550"/>
      <c r="W170" s="550"/>
      <c r="X170" s="550"/>
    </row>
    <row r="171" spans="1:24" s="341" customFormat="1" ht="47.25">
      <c r="A171" s="381"/>
      <c r="B171" s="767" t="s">
        <v>222</v>
      </c>
      <c r="C171" s="707">
        <f>C167/C169</f>
        <v>11.999071574121242</v>
      </c>
      <c r="D171" s="707">
        <f>D167/D169</f>
        <v>4.5439124866595515</v>
      </c>
      <c r="E171" s="105">
        <f>D171-C171</f>
        <v>-7.4551590874616904</v>
      </c>
      <c r="F171" s="706">
        <f t="shared" si="8"/>
        <v>37.868867258526436</v>
      </c>
      <c r="G171" s="704" t="s">
        <v>796</v>
      </c>
      <c r="H171" s="340"/>
      <c r="I171" s="289"/>
      <c r="J171" s="289"/>
      <c r="K171" s="289"/>
      <c r="L171" s="289"/>
      <c r="M171" s="289"/>
      <c r="N171" s="289"/>
      <c r="O171" s="289"/>
      <c r="P171" s="289"/>
      <c r="Q171" s="289"/>
      <c r="R171" s="289"/>
      <c r="S171" s="289"/>
      <c r="T171" s="289"/>
      <c r="U171" s="289"/>
      <c r="V171" s="289"/>
      <c r="W171" s="289"/>
      <c r="X171" s="289"/>
    </row>
    <row r="172" spans="1:24" s="341" customFormat="1" ht="63">
      <c r="A172" s="381"/>
      <c r="B172" s="767" t="s">
        <v>503</v>
      </c>
      <c r="C172" s="707">
        <v>88</v>
      </c>
      <c r="D172" s="707">
        <f>D169/13516*100</f>
        <v>69.325244155075467</v>
      </c>
      <c r="E172" s="105">
        <f>D172-C172</f>
        <v>-18.674755844924533</v>
      </c>
      <c r="F172" s="706">
        <f t="shared" si="8"/>
        <v>78.778686539858484</v>
      </c>
      <c r="G172" s="704" t="s">
        <v>798</v>
      </c>
      <c r="H172" s="340"/>
      <c r="I172" s="289"/>
      <c r="J172" s="289"/>
      <c r="K172" s="289"/>
      <c r="L172" s="289"/>
      <c r="M172" s="289"/>
      <c r="N172" s="289"/>
      <c r="O172" s="289"/>
      <c r="P172" s="289"/>
      <c r="Q172" s="289"/>
      <c r="R172" s="289"/>
      <c r="S172" s="289"/>
      <c r="T172" s="289"/>
      <c r="U172" s="289"/>
      <c r="V172" s="289"/>
      <c r="W172" s="289"/>
      <c r="X172" s="289"/>
    </row>
    <row r="173" spans="1:24" ht="47.25">
      <c r="A173" s="138"/>
      <c r="B173" s="702" t="s">
        <v>504</v>
      </c>
      <c r="C173" s="710"/>
      <c r="D173" s="710"/>
      <c r="E173" s="757"/>
      <c r="F173" s="194"/>
      <c r="G173" s="714"/>
    </row>
    <row r="174" spans="1:24" s="548" customFormat="1" ht="63">
      <c r="A174" s="209"/>
      <c r="B174" s="771" t="s">
        <v>505</v>
      </c>
      <c r="C174" s="712">
        <v>2000</v>
      </c>
      <c r="D174" s="712">
        <v>26</v>
      </c>
      <c r="E174" s="805">
        <f>D174-C174</f>
        <v>-1974</v>
      </c>
      <c r="F174" s="194">
        <f t="shared" si="8"/>
        <v>1.3</v>
      </c>
      <c r="G174" s="701" t="s">
        <v>799</v>
      </c>
      <c r="H174" s="546"/>
      <c r="I174" s="547"/>
      <c r="J174" s="547"/>
      <c r="K174" s="547"/>
      <c r="L174" s="547"/>
      <c r="M174" s="547"/>
      <c r="N174" s="547"/>
      <c r="O174" s="547"/>
      <c r="P174" s="547"/>
      <c r="Q174" s="547"/>
      <c r="R174" s="547"/>
      <c r="S174" s="547"/>
      <c r="T174" s="547"/>
      <c r="U174" s="547"/>
      <c r="V174" s="547"/>
      <c r="W174" s="547"/>
      <c r="X174" s="547"/>
    </row>
    <row r="175" spans="1:24" s="548" customFormat="1" ht="94.5">
      <c r="A175" s="209"/>
      <c r="B175" s="771" t="s">
        <v>506</v>
      </c>
      <c r="C175" s="770">
        <v>60</v>
      </c>
      <c r="D175" s="765">
        <f>D174*100/26</f>
        <v>100</v>
      </c>
      <c r="E175" s="700">
        <f>D175-C175</f>
        <v>40</v>
      </c>
      <c r="F175" s="700">
        <f t="shared" si="8"/>
        <v>166.66666666666669</v>
      </c>
      <c r="G175" s="701" t="s">
        <v>800</v>
      </c>
      <c r="H175" s="546"/>
      <c r="I175" s="547"/>
      <c r="J175" s="547"/>
      <c r="K175" s="547"/>
      <c r="L175" s="547"/>
      <c r="M175" s="547"/>
      <c r="N175" s="547"/>
      <c r="O175" s="547"/>
      <c r="P175" s="547"/>
      <c r="Q175" s="547"/>
      <c r="R175" s="547"/>
      <c r="S175" s="547"/>
      <c r="T175" s="547"/>
      <c r="U175" s="547"/>
      <c r="V175" s="547"/>
      <c r="W175" s="547"/>
      <c r="X175" s="547"/>
    </row>
    <row r="176" spans="1:24" ht="31.5">
      <c r="A176" s="138"/>
      <c r="B176" s="702" t="s">
        <v>507</v>
      </c>
      <c r="C176" s="712"/>
      <c r="D176" s="712"/>
      <c r="E176" s="757"/>
      <c r="F176" s="194"/>
      <c r="G176" s="701"/>
    </row>
    <row r="177" spans="1:24" s="548" customFormat="1" ht="78.75">
      <c r="A177" s="209"/>
      <c r="B177" s="771" t="s">
        <v>508</v>
      </c>
      <c r="C177" s="712">
        <v>9666</v>
      </c>
      <c r="D177" s="712">
        <v>1554</v>
      </c>
      <c r="E177" s="804">
        <f>D177-C177</f>
        <v>-8112</v>
      </c>
      <c r="F177" s="706">
        <f t="shared" si="8"/>
        <v>16.076970825574179</v>
      </c>
      <c r="G177" s="701" t="s">
        <v>833</v>
      </c>
      <c r="H177" s="546"/>
      <c r="I177" s="547"/>
      <c r="J177" s="547"/>
      <c r="K177" s="547"/>
      <c r="L177" s="547"/>
      <c r="M177" s="547"/>
      <c r="N177" s="547"/>
      <c r="O177" s="547"/>
      <c r="P177" s="547"/>
      <c r="Q177" s="547"/>
      <c r="R177" s="547"/>
      <c r="S177" s="547"/>
      <c r="T177" s="547"/>
      <c r="U177" s="547"/>
      <c r="V177" s="547"/>
      <c r="W177" s="547"/>
      <c r="X177" s="547"/>
    </row>
    <row r="178" spans="1:24" s="548" customFormat="1" ht="47.25">
      <c r="A178" s="209"/>
      <c r="B178" s="713" t="s">
        <v>509</v>
      </c>
      <c r="C178" s="716">
        <v>54</v>
      </c>
      <c r="D178" s="716">
        <f>D177*100/D169</f>
        <v>16.584845250800427</v>
      </c>
      <c r="E178" s="105">
        <f>D178-C178</f>
        <v>-37.415154749199573</v>
      </c>
      <c r="F178" s="706">
        <f>D178/C178*100</f>
        <v>30.712676390371165</v>
      </c>
      <c r="G178" s="806" t="s">
        <v>834</v>
      </c>
      <c r="H178" s="546"/>
      <c r="I178" s="547"/>
      <c r="J178" s="547"/>
      <c r="K178" s="547"/>
      <c r="L178" s="547"/>
      <c r="M178" s="547"/>
      <c r="N178" s="547"/>
      <c r="O178" s="547"/>
      <c r="P178" s="547"/>
      <c r="Q178" s="547"/>
      <c r="R178" s="547"/>
      <c r="S178" s="547"/>
      <c r="T178" s="547"/>
      <c r="U178" s="547"/>
      <c r="V178" s="547"/>
      <c r="W178" s="547"/>
      <c r="X178" s="547"/>
    </row>
    <row r="179" spans="1:24" ht="31.5" customHeight="1">
      <c r="A179" s="225" t="s">
        <v>362</v>
      </c>
      <c r="B179" s="999" t="s">
        <v>587</v>
      </c>
      <c r="C179" s="1000"/>
      <c r="D179" s="1000"/>
      <c r="E179" s="1000"/>
      <c r="F179" s="1000"/>
      <c r="G179" s="1001"/>
    </row>
    <row r="180" spans="1:24" ht="19.5" hidden="1" customHeight="1">
      <c r="A180" s="137"/>
      <c r="B180" s="750" t="s">
        <v>588</v>
      </c>
      <c r="C180" s="292"/>
      <c r="D180" s="292"/>
      <c r="E180" s="750"/>
      <c r="F180" s="750"/>
      <c r="G180" s="750"/>
    </row>
    <row r="181" spans="1:24" hidden="1">
      <c r="A181" s="138"/>
      <c r="B181" s="285" t="s">
        <v>590</v>
      </c>
      <c r="C181" s="334">
        <v>0</v>
      </c>
      <c r="D181" s="328">
        <v>0</v>
      </c>
      <c r="E181" s="756">
        <v>0</v>
      </c>
      <c r="F181" s="754">
        <v>0</v>
      </c>
      <c r="G181" s="452"/>
    </row>
    <row r="182" spans="1:24" ht="31.5" hidden="1">
      <c r="A182" s="138"/>
      <c r="B182" s="285" t="s">
        <v>591</v>
      </c>
      <c r="C182" s="328">
        <v>0</v>
      </c>
      <c r="D182" s="328"/>
      <c r="E182" s="756"/>
      <c r="F182" s="754"/>
      <c r="G182" s="452"/>
    </row>
    <row r="183" spans="1:24" ht="31.5" hidden="1">
      <c r="A183" s="138"/>
      <c r="B183" s="285" t="s">
        <v>592</v>
      </c>
      <c r="C183" s="334">
        <v>0</v>
      </c>
      <c r="D183" s="328"/>
      <c r="E183" s="756"/>
      <c r="F183" s="754"/>
      <c r="G183" s="452"/>
    </row>
    <row r="184" spans="1:24" ht="31.5" hidden="1">
      <c r="A184" s="138"/>
      <c r="B184" s="285" t="s">
        <v>593</v>
      </c>
      <c r="C184" s="328">
        <v>0</v>
      </c>
      <c r="D184" s="328"/>
      <c r="E184" s="756"/>
      <c r="F184" s="754"/>
      <c r="G184" s="452"/>
    </row>
    <row r="185" spans="1:24" s="548" customFormat="1" ht="42" customHeight="1">
      <c r="A185" s="209"/>
      <c r="B185" s="752" t="s">
        <v>589</v>
      </c>
      <c r="C185" s="328"/>
      <c r="D185" s="328"/>
      <c r="E185" s="756"/>
      <c r="F185" s="754"/>
      <c r="G185" s="452"/>
      <c r="H185" s="546"/>
      <c r="I185" s="547"/>
      <c r="J185" s="547"/>
      <c r="K185" s="547"/>
      <c r="L185" s="547"/>
      <c r="M185" s="547"/>
      <c r="N185" s="547"/>
      <c r="O185" s="547"/>
      <c r="P185" s="547"/>
      <c r="Q185" s="547"/>
      <c r="R185" s="547"/>
      <c r="S185" s="547"/>
      <c r="T185" s="547"/>
      <c r="U185" s="547"/>
      <c r="V185" s="547"/>
      <c r="W185" s="547"/>
      <c r="X185" s="547"/>
    </row>
    <row r="186" spans="1:24" s="548" customFormat="1" ht="126">
      <c r="A186" s="209"/>
      <c r="B186" s="285" t="s">
        <v>594</v>
      </c>
      <c r="C186" s="716">
        <f>'звіт ІІІ кв'!E71</f>
        <v>300</v>
      </c>
      <c r="D186" s="716">
        <f>'звіт ІІІ кв'!L71</f>
        <v>0</v>
      </c>
      <c r="E186" s="757">
        <f>D186-C186</f>
        <v>-300</v>
      </c>
      <c r="F186" s="194">
        <f>D186/C186*100</f>
        <v>0</v>
      </c>
      <c r="G186" s="773" t="s">
        <v>803</v>
      </c>
      <c r="H186" s="546"/>
      <c r="I186" s="547"/>
      <c r="J186" s="547"/>
      <c r="K186" s="547"/>
      <c r="L186" s="547"/>
      <c r="M186" s="547"/>
      <c r="N186" s="547"/>
      <c r="O186" s="547"/>
      <c r="P186" s="547"/>
      <c r="Q186" s="547"/>
      <c r="R186" s="547"/>
      <c r="S186" s="547"/>
      <c r="T186" s="547"/>
      <c r="U186" s="547"/>
      <c r="V186" s="547"/>
      <c r="W186" s="547"/>
      <c r="X186" s="547"/>
    </row>
    <row r="187" spans="1:24" s="548" customFormat="1" ht="31.5">
      <c r="A187" s="209"/>
      <c r="B187" s="285" t="s">
        <v>595</v>
      </c>
      <c r="C187" s="807">
        <v>10</v>
      </c>
      <c r="D187" s="807">
        <v>0</v>
      </c>
      <c r="E187" s="805">
        <f>D187-C187</f>
        <v>-10</v>
      </c>
      <c r="F187" s="194">
        <f>D187/C187*100</f>
        <v>0</v>
      </c>
      <c r="G187" s="773" t="s">
        <v>804</v>
      </c>
      <c r="H187" s="546"/>
      <c r="I187" s="547"/>
      <c r="J187" s="547"/>
      <c r="K187" s="547"/>
      <c r="L187" s="547"/>
      <c r="M187" s="547"/>
      <c r="N187" s="547"/>
      <c r="O187" s="547"/>
      <c r="P187" s="547"/>
      <c r="Q187" s="547"/>
      <c r="R187" s="547"/>
      <c r="S187" s="547"/>
      <c r="T187" s="547"/>
      <c r="U187" s="547"/>
      <c r="V187" s="547"/>
      <c r="W187" s="547"/>
      <c r="X187" s="547"/>
    </row>
    <row r="188" spans="1:24" s="548" customFormat="1" ht="47.25">
      <c r="A188" s="209"/>
      <c r="B188" s="285" t="s">
        <v>596</v>
      </c>
      <c r="C188" s="716">
        <f>C186/C187</f>
        <v>30</v>
      </c>
      <c r="D188" s="716">
        <v>0</v>
      </c>
      <c r="E188" s="757">
        <f>D188-C188</f>
        <v>-30</v>
      </c>
      <c r="F188" s="194">
        <f>D188/C188*100</f>
        <v>0</v>
      </c>
      <c r="G188" s="773" t="s">
        <v>777</v>
      </c>
      <c r="H188" s="546"/>
      <c r="I188" s="547"/>
      <c r="J188" s="547"/>
      <c r="K188" s="547"/>
      <c r="L188" s="547"/>
      <c r="M188" s="547"/>
      <c r="N188" s="547"/>
      <c r="O188" s="547"/>
      <c r="P188" s="547"/>
      <c r="Q188" s="547"/>
      <c r="R188" s="547"/>
      <c r="S188" s="547"/>
      <c r="T188" s="547"/>
      <c r="U188" s="547"/>
      <c r="V188" s="547"/>
      <c r="W188" s="547"/>
      <c r="X188" s="547"/>
    </row>
    <row r="189" spans="1:24" s="548" customFormat="1" ht="31.5">
      <c r="A189" s="209"/>
      <c r="B189" s="285" t="s">
        <v>597</v>
      </c>
      <c r="C189" s="807">
        <v>100</v>
      </c>
      <c r="D189" s="807">
        <v>0</v>
      </c>
      <c r="E189" s="805">
        <f>D189-C189</f>
        <v>-100</v>
      </c>
      <c r="F189" s="194">
        <f>D189/C189*100</f>
        <v>0</v>
      </c>
      <c r="G189" s="773" t="s">
        <v>804</v>
      </c>
      <c r="H189" s="546"/>
      <c r="I189" s="547"/>
      <c r="J189" s="547"/>
      <c r="K189" s="547"/>
      <c r="L189" s="547"/>
      <c r="M189" s="547"/>
      <c r="N189" s="547"/>
      <c r="O189" s="547"/>
      <c r="P189" s="547"/>
      <c r="Q189" s="547"/>
      <c r="R189" s="547"/>
      <c r="S189" s="547"/>
      <c r="T189" s="547"/>
      <c r="U189" s="547"/>
      <c r="V189" s="547"/>
      <c r="W189" s="547"/>
      <c r="X189" s="547"/>
    </row>
    <row r="190" spans="1:24" ht="33" customHeight="1">
      <c r="A190" s="225" t="s">
        <v>367</v>
      </c>
      <c r="B190" s="999" t="s">
        <v>510</v>
      </c>
      <c r="C190" s="1000"/>
      <c r="D190" s="1000"/>
      <c r="E190" s="1000"/>
      <c r="F190" s="1000"/>
      <c r="G190" s="1001"/>
    </row>
    <row r="191" spans="1:24" s="341" customFormat="1" ht="31.5">
      <c r="A191" s="393"/>
      <c r="B191" s="808" t="s">
        <v>516</v>
      </c>
      <c r="C191" s="716">
        <f>'звіт ІІІ кв'!E72</f>
        <v>420</v>
      </c>
      <c r="D191" s="716">
        <f>'звіт ІІІ кв'!K72</f>
        <v>0</v>
      </c>
      <c r="E191" s="809">
        <f>D191-C191</f>
        <v>-420</v>
      </c>
      <c r="F191" s="807">
        <f>D191/C191*100</f>
        <v>0</v>
      </c>
      <c r="G191" s="806" t="s">
        <v>613</v>
      </c>
      <c r="H191" s="340"/>
      <c r="I191" s="289"/>
      <c r="J191" s="289"/>
      <c r="K191" s="289"/>
      <c r="L191" s="289"/>
      <c r="M191" s="289"/>
      <c r="N191" s="289"/>
      <c r="O191" s="289"/>
      <c r="P191" s="289"/>
      <c r="Q191" s="289"/>
      <c r="R191" s="289"/>
      <c r="S191" s="289"/>
      <c r="T191" s="289"/>
      <c r="U191" s="289"/>
      <c r="V191" s="289"/>
      <c r="W191" s="289"/>
      <c r="X191" s="289"/>
    </row>
    <row r="192" spans="1:24" ht="47.25">
      <c r="A192" s="138"/>
      <c r="B192" s="810" t="s">
        <v>511</v>
      </c>
      <c r="C192" s="807">
        <v>15</v>
      </c>
      <c r="D192" s="807">
        <v>12</v>
      </c>
      <c r="E192" s="811">
        <f>D192-C192</f>
        <v>-3</v>
      </c>
      <c r="F192" s="811">
        <f>D192/C192*100</f>
        <v>80</v>
      </c>
      <c r="G192" s="701" t="s">
        <v>805</v>
      </c>
    </row>
    <row r="193" spans="1:24" ht="47.25">
      <c r="A193" s="138"/>
      <c r="B193" s="810" t="s">
        <v>512</v>
      </c>
      <c r="C193" s="716">
        <f>C191/C192</f>
        <v>28</v>
      </c>
      <c r="D193" s="716">
        <f>D191/D192</f>
        <v>0</v>
      </c>
      <c r="E193" s="812">
        <f>D193-C193</f>
        <v>-28</v>
      </c>
      <c r="F193" s="811">
        <f>D193/C193*100</f>
        <v>0</v>
      </c>
      <c r="G193" s="813" t="s">
        <v>606</v>
      </c>
    </row>
    <row r="194" spans="1:24" s="548" customFormat="1" ht="47.25">
      <c r="A194" s="209"/>
      <c r="B194" s="810" t="s">
        <v>513</v>
      </c>
      <c r="C194" s="814">
        <v>27</v>
      </c>
      <c r="D194" s="814">
        <f>584/9072*100</f>
        <v>6.4373897707231036</v>
      </c>
      <c r="E194" s="815">
        <f>D194-C194</f>
        <v>-20.562610229276896</v>
      </c>
      <c r="F194" s="811">
        <f>D194/C194*100</f>
        <v>23.842184336011496</v>
      </c>
      <c r="G194" s="701" t="s">
        <v>806</v>
      </c>
      <c r="H194" s="546"/>
      <c r="I194" s="547"/>
      <c r="J194" s="547"/>
      <c r="K194" s="547"/>
      <c r="L194" s="547"/>
      <c r="M194" s="547"/>
      <c r="N194" s="547"/>
      <c r="O194" s="547"/>
      <c r="P194" s="547"/>
      <c r="Q194" s="547"/>
      <c r="R194" s="547"/>
      <c r="S194" s="547"/>
      <c r="T194" s="547"/>
      <c r="U194" s="547"/>
      <c r="V194" s="547"/>
      <c r="W194" s="547"/>
      <c r="X194" s="547"/>
    </row>
    <row r="195" spans="1:24" ht="33.75" customHeight="1">
      <c r="A195" s="225" t="s">
        <v>514</v>
      </c>
      <c r="B195" s="999" t="s">
        <v>515</v>
      </c>
      <c r="C195" s="1000"/>
      <c r="D195" s="1000"/>
      <c r="E195" s="1000"/>
      <c r="F195" s="1000"/>
      <c r="G195" s="1001"/>
    </row>
    <row r="196" spans="1:24" s="341" customFormat="1" ht="63">
      <c r="A196" s="393"/>
      <c r="B196" s="808" t="s">
        <v>517</v>
      </c>
      <c r="C196" s="716">
        <f>'звіт ІІІ кв'!E73</f>
        <v>6841</v>
      </c>
      <c r="D196" s="716">
        <f>'звіт ІІІ кв'!I73</f>
        <v>1321.58</v>
      </c>
      <c r="E196" s="807">
        <f>D196-C196</f>
        <v>-5519.42</v>
      </c>
      <c r="F196" s="807">
        <f>D196/C196*100</f>
        <v>19.31852068411051</v>
      </c>
      <c r="G196" s="764" t="s">
        <v>935</v>
      </c>
      <c r="H196" s="340"/>
      <c r="I196" s="289"/>
      <c r="J196" s="289"/>
      <c r="K196" s="289"/>
      <c r="L196" s="289"/>
      <c r="M196" s="289"/>
      <c r="N196" s="289"/>
      <c r="O196" s="289"/>
      <c r="P196" s="289"/>
      <c r="Q196" s="289"/>
      <c r="R196" s="289"/>
      <c r="S196" s="289"/>
      <c r="T196" s="289"/>
      <c r="U196" s="289"/>
      <c r="V196" s="289"/>
      <c r="W196" s="289"/>
      <c r="X196" s="289"/>
    </row>
    <row r="197" spans="1:24" s="341" customFormat="1" ht="63">
      <c r="A197" s="393"/>
      <c r="B197" s="808" t="s">
        <v>518</v>
      </c>
      <c r="C197" s="807">
        <v>8950</v>
      </c>
      <c r="D197" s="807">
        <v>4313</v>
      </c>
      <c r="E197" s="807">
        <f>D197-C197</f>
        <v>-4637</v>
      </c>
      <c r="F197" s="807">
        <f>D197/C197*100</f>
        <v>48.18994413407821</v>
      </c>
      <c r="G197" s="704" t="s">
        <v>862</v>
      </c>
      <c r="H197" s="340"/>
      <c r="I197" s="289"/>
      <c r="J197" s="289"/>
      <c r="K197" s="289"/>
      <c r="L197" s="289"/>
      <c r="M197" s="289"/>
      <c r="N197" s="289"/>
      <c r="O197" s="289"/>
      <c r="P197" s="289"/>
      <c r="Q197" s="289"/>
      <c r="R197" s="289"/>
      <c r="S197" s="289"/>
      <c r="T197" s="289"/>
      <c r="U197" s="289"/>
      <c r="V197" s="289"/>
      <c r="W197" s="289"/>
      <c r="X197" s="289"/>
    </row>
    <row r="198" spans="1:24" s="341" customFormat="1" ht="47.25">
      <c r="A198" s="393"/>
      <c r="B198" s="808" t="s">
        <v>519</v>
      </c>
      <c r="C198" s="716">
        <f>C196/C197</f>
        <v>0.76435754189944138</v>
      </c>
      <c r="D198" s="716">
        <f>D196/D197</f>
        <v>0.30641780663111523</v>
      </c>
      <c r="E198" s="816">
        <f>D198-C198</f>
        <v>-0.45793973526832615</v>
      </c>
      <c r="F198" s="807">
        <f>D198/C198*100</f>
        <v>40.088281966795513</v>
      </c>
      <c r="G198" s="704" t="s">
        <v>861</v>
      </c>
      <c r="H198" s="340"/>
      <c r="I198" s="289"/>
      <c r="J198" s="289"/>
      <c r="K198" s="289"/>
      <c r="L198" s="289"/>
      <c r="M198" s="289"/>
      <c r="N198" s="289"/>
      <c r="O198" s="289"/>
      <c r="P198" s="289"/>
      <c r="Q198" s="289"/>
      <c r="R198" s="289"/>
      <c r="S198" s="289"/>
      <c r="T198" s="289"/>
      <c r="U198" s="289"/>
      <c r="V198" s="289"/>
      <c r="W198" s="289"/>
      <c r="X198" s="289"/>
    </row>
    <row r="199" spans="1:24" s="341" customFormat="1" ht="63">
      <c r="A199" s="393"/>
      <c r="B199" s="808" t="s">
        <v>520</v>
      </c>
      <c r="C199" s="814">
        <v>50</v>
      </c>
      <c r="D199" s="814">
        <f>D197/13516*100</f>
        <v>31.910328499556083</v>
      </c>
      <c r="E199" s="814">
        <f>D199-C199</f>
        <v>-18.089671500443917</v>
      </c>
      <c r="F199" s="807">
        <f>D199/C199*100</f>
        <v>63.820656999112167</v>
      </c>
      <c r="G199" s="704" t="s">
        <v>860</v>
      </c>
      <c r="H199" s="340"/>
      <c r="I199" s="289"/>
      <c r="J199" s="289"/>
      <c r="K199" s="289"/>
      <c r="L199" s="289"/>
      <c r="M199" s="289"/>
      <c r="N199" s="289"/>
      <c r="O199" s="289"/>
      <c r="P199" s="289"/>
      <c r="Q199" s="289"/>
      <c r="R199" s="289"/>
      <c r="S199" s="289"/>
      <c r="T199" s="289"/>
      <c r="U199" s="289"/>
      <c r="V199" s="289"/>
      <c r="W199" s="289"/>
      <c r="X199" s="289"/>
    </row>
    <row r="200" spans="1:24" s="290" customFormat="1" ht="21.75" customHeight="1">
      <c r="A200" s="291" t="s">
        <v>379</v>
      </c>
      <c r="B200" s="1049" t="s">
        <v>154</v>
      </c>
      <c r="C200" s="1050"/>
      <c r="D200" s="1050"/>
      <c r="E200" s="1050"/>
      <c r="F200" s="1050"/>
      <c r="G200" s="1051"/>
      <c r="H200" s="324"/>
      <c r="I200" s="289"/>
      <c r="J200" s="587"/>
      <c r="K200" s="289"/>
      <c r="L200" s="289"/>
      <c r="M200" s="289"/>
      <c r="N200" s="288"/>
      <c r="O200" s="288"/>
      <c r="P200" s="288"/>
      <c r="Q200" s="288"/>
      <c r="R200" s="288"/>
      <c r="S200" s="288"/>
      <c r="T200" s="288"/>
      <c r="U200" s="288"/>
      <c r="V200" s="288"/>
      <c r="W200" s="288"/>
      <c r="X200" s="288"/>
    </row>
    <row r="201" spans="1:24" s="290" customFormat="1" ht="126">
      <c r="A201" s="291"/>
      <c r="B201" s="717" t="s">
        <v>521</v>
      </c>
      <c r="C201" s="105">
        <f>'звіт ІІІ кв'!E75</f>
        <v>36540.245999999999</v>
      </c>
      <c r="D201" s="105">
        <f>'звіт ІІІ кв'!I74</f>
        <v>19476.493999999999</v>
      </c>
      <c r="E201" s="105">
        <f>D201-C201</f>
        <v>-17063.752</v>
      </c>
      <c r="F201" s="706">
        <f>D201/C201*100</f>
        <v>53.301485709756847</v>
      </c>
      <c r="G201" s="704" t="s">
        <v>936</v>
      </c>
      <c r="H201" s="324"/>
      <c r="I201" s="289"/>
      <c r="J201" s="289"/>
      <c r="K201" s="289"/>
      <c r="L201" s="289"/>
      <c r="M201" s="289"/>
      <c r="N201" s="288"/>
      <c r="O201" s="288"/>
      <c r="P201" s="288"/>
      <c r="Q201" s="288"/>
      <c r="R201" s="288"/>
      <c r="S201" s="288"/>
      <c r="T201" s="288"/>
      <c r="U201" s="288"/>
      <c r="V201" s="288"/>
      <c r="W201" s="288"/>
      <c r="X201" s="288"/>
    </row>
    <row r="202" spans="1:24" s="198" customFormat="1" ht="20.25" customHeight="1">
      <c r="A202" s="205" t="s">
        <v>380</v>
      </c>
      <c r="B202" s="1004" t="s">
        <v>156</v>
      </c>
      <c r="C202" s="1005"/>
      <c r="D202" s="1005"/>
      <c r="E202" s="1005"/>
      <c r="F202" s="1005"/>
      <c r="G202" s="1006"/>
      <c r="H202" s="323"/>
      <c r="I202" s="124"/>
      <c r="J202" s="124"/>
      <c r="K202" s="124"/>
      <c r="L202" s="124"/>
      <c r="M202" s="124"/>
      <c r="N202" s="234"/>
      <c r="O202" s="234"/>
      <c r="P202" s="234"/>
      <c r="Q202" s="234"/>
      <c r="R202" s="234"/>
      <c r="S202" s="234"/>
      <c r="T202" s="234"/>
      <c r="U202" s="234"/>
      <c r="V202" s="234"/>
      <c r="W202" s="234"/>
      <c r="X202" s="234"/>
    </row>
    <row r="203" spans="1:24" s="580" customFormat="1" ht="20.25" customHeight="1">
      <c r="A203" s="235"/>
      <c r="B203" s="750" t="s">
        <v>522</v>
      </c>
      <c r="C203" s="292"/>
      <c r="D203" s="292"/>
      <c r="E203" s="750"/>
      <c r="F203" s="750"/>
      <c r="G203" s="750"/>
      <c r="H203" s="578"/>
      <c r="I203" s="547"/>
      <c r="J203" s="547"/>
      <c r="K203" s="547"/>
      <c r="L203" s="547"/>
      <c r="M203" s="547"/>
      <c r="N203" s="579"/>
      <c r="O203" s="579"/>
      <c r="P203" s="579"/>
      <c r="Q203" s="579"/>
      <c r="R203" s="579"/>
      <c r="S203" s="579"/>
      <c r="T203" s="579"/>
      <c r="U203" s="579"/>
      <c r="V203" s="579"/>
      <c r="W203" s="579"/>
      <c r="X203" s="579"/>
    </row>
    <row r="204" spans="1:24" s="580" customFormat="1" ht="47.25">
      <c r="A204" s="235"/>
      <c r="B204" s="701" t="s">
        <v>523</v>
      </c>
      <c r="C204" s="68">
        <v>13600</v>
      </c>
      <c r="D204" s="68">
        <v>7200</v>
      </c>
      <c r="E204" s="194">
        <f>D204-C204</f>
        <v>-6400</v>
      </c>
      <c r="F204" s="781">
        <f>D204/C204*100</f>
        <v>52.941176470588239</v>
      </c>
      <c r="G204" s="452" t="s">
        <v>829</v>
      </c>
      <c r="H204" s="578"/>
      <c r="I204" s="547"/>
      <c r="J204" s="547"/>
      <c r="K204" s="547"/>
      <c r="L204" s="547"/>
      <c r="M204" s="547"/>
      <c r="N204" s="579"/>
      <c r="O204" s="579"/>
      <c r="P204" s="579"/>
      <c r="Q204" s="579"/>
      <c r="R204" s="579"/>
      <c r="S204" s="579"/>
      <c r="T204" s="579"/>
      <c r="U204" s="579"/>
      <c r="V204" s="579"/>
      <c r="W204" s="579"/>
      <c r="X204" s="579"/>
    </row>
    <row r="205" spans="1:24" s="580" customFormat="1" ht="47.25">
      <c r="A205" s="235"/>
      <c r="B205" s="701" t="s">
        <v>524</v>
      </c>
      <c r="C205" s="68">
        <v>15000</v>
      </c>
      <c r="D205" s="68">
        <v>6614</v>
      </c>
      <c r="E205" s="194">
        <f t="shared" ref="E205:E215" si="9">D205-C205</f>
        <v>-8386</v>
      </c>
      <c r="F205" s="195">
        <f t="shared" ref="F205:F215" si="10">D205/C205*100</f>
        <v>44.093333333333334</v>
      </c>
      <c r="G205" s="452" t="s">
        <v>829</v>
      </c>
      <c r="H205" s="578"/>
      <c r="I205" s="547"/>
      <c r="J205" s="547"/>
      <c r="K205" s="547"/>
      <c r="L205" s="547"/>
      <c r="M205" s="547"/>
      <c r="N205" s="579"/>
      <c r="O205" s="579"/>
      <c r="P205" s="579"/>
      <c r="Q205" s="579"/>
      <c r="R205" s="579"/>
      <c r="S205" s="579"/>
      <c r="T205" s="579"/>
      <c r="U205" s="579"/>
      <c r="V205" s="579"/>
      <c r="W205" s="579"/>
      <c r="X205" s="579"/>
    </row>
    <row r="206" spans="1:24" s="580" customFormat="1">
      <c r="A206" s="235"/>
      <c r="B206" s="714" t="s">
        <v>525</v>
      </c>
      <c r="C206" s="710"/>
      <c r="D206" s="68"/>
      <c r="E206" s="194"/>
      <c r="F206" s="194"/>
      <c r="G206" s="193"/>
      <c r="H206" s="581"/>
      <c r="I206" s="582"/>
      <c r="J206" s="582"/>
      <c r="K206" s="582"/>
      <c r="L206" s="582"/>
      <c r="M206" s="582"/>
      <c r="N206" s="583"/>
      <c r="O206" s="583"/>
      <c r="P206" s="583"/>
      <c r="Q206" s="583"/>
      <c r="R206" s="583"/>
      <c r="S206" s="583"/>
      <c r="T206" s="583"/>
      <c r="U206" s="583"/>
      <c r="V206" s="583"/>
      <c r="W206" s="583"/>
      <c r="X206" s="583"/>
    </row>
    <row r="207" spans="1:24" s="580" customFormat="1" ht="47.25">
      <c r="A207" s="235"/>
      <c r="B207" s="817" t="s">
        <v>529</v>
      </c>
      <c r="C207" s="818">
        <v>15000</v>
      </c>
      <c r="D207" s="68">
        <v>12027</v>
      </c>
      <c r="E207" s="194">
        <f t="shared" si="9"/>
        <v>-2973</v>
      </c>
      <c r="F207" s="195">
        <f t="shared" si="10"/>
        <v>80.179999999999993</v>
      </c>
      <c r="G207" s="452" t="s">
        <v>829</v>
      </c>
      <c r="H207" s="581"/>
      <c r="I207" s="582"/>
      <c r="J207" s="582"/>
      <c r="K207" s="582"/>
      <c r="L207" s="582"/>
      <c r="M207" s="582"/>
      <c r="N207" s="583"/>
      <c r="O207" s="583"/>
      <c r="P207" s="583"/>
      <c r="Q207" s="583"/>
      <c r="R207" s="583"/>
      <c r="S207" s="583"/>
      <c r="T207" s="583"/>
      <c r="U207" s="583"/>
      <c r="V207" s="583"/>
      <c r="W207" s="583"/>
      <c r="X207" s="583"/>
    </row>
    <row r="208" spans="1:24" s="580" customFormat="1">
      <c r="A208" s="235"/>
      <c r="B208" s="714" t="s">
        <v>528</v>
      </c>
      <c r="C208" s="710"/>
      <c r="D208" s="68"/>
      <c r="E208" s="194"/>
      <c r="F208" s="194"/>
      <c r="G208" s="193"/>
      <c r="H208" s="581"/>
      <c r="I208" s="582"/>
      <c r="J208" s="582"/>
      <c r="K208" s="582"/>
      <c r="L208" s="582"/>
      <c r="M208" s="582"/>
      <c r="N208" s="583"/>
      <c r="O208" s="583"/>
      <c r="P208" s="583"/>
      <c r="Q208" s="583"/>
      <c r="R208" s="583"/>
      <c r="S208" s="583"/>
      <c r="T208" s="583"/>
      <c r="U208" s="583"/>
      <c r="V208" s="583"/>
      <c r="W208" s="583"/>
      <c r="X208" s="583"/>
    </row>
    <row r="209" spans="1:24" s="580" customFormat="1" ht="47.25">
      <c r="A209" s="235"/>
      <c r="B209" s="819" t="s">
        <v>530</v>
      </c>
      <c r="C209" s="820">
        <v>35800</v>
      </c>
      <c r="D209" s="68">
        <v>19259</v>
      </c>
      <c r="E209" s="194">
        <f t="shared" si="9"/>
        <v>-16541</v>
      </c>
      <c r="F209" s="195">
        <f t="shared" si="10"/>
        <v>53.796089385474865</v>
      </c>
      <c r="G209" s="452" t="s">
        <v>829</v>
      </c>
      <c r="H209" s="581"/>
      <c r="I209" s="582"/>
      <c r="J209" s="582"/>
      <c r="K209" s="582"/>
      <c r="L209" s="582"/>
      <c r="M209" s="582"/>
      <c r="N209" s="583"/>
      <c r="O209" s="583"/>
      <c r="P209" s="583"/>
      <c r="Q209" s="583"/>
      <c r="R209" s="583"/>
      <c r="S209" s="583"/>
      <c r="T209" s="583"/>
      <c r="U209" s="583"/>
      <c r="V209" s="583"/>
      <c r="W209" s="583"/>
      <c r="X209" s="583"/>
    </row>
    <row r="210" spans="1:24" s="580" customFormat="1">
      <c r="A210" s="235"/>
      <c r="B210" s="714" t="s">
        <v>526</v>
      </c>
      <c r="C210" s="710"/>
      <c r="D210" s="68"/>
      <c r="E210" s="194"/>
      <c r="F210" s="194"/>
      <c r="G210" s="193"/>
      <c r="H210" s="581"/>
      <c r="I210" s="582"/>
      <c r="J210" s="582"/>
      <c r="K210" s="582"/>
      <c r="L210" s="582"/>
      <c r="M210" s="582"/>
      <c r="N210" s="583"/>
      <c r="O210" s="583"/>
      <c r="P210" s="583"/>
      <c r="Q210" s="583"/>
      <c r="R210" s="583"/>
      <c r="S210" s="583"/>
      <c r="T210" s="583"/>
      <c r="U210" s="583"/>
      <c r="V210" s="583"/>
      <c r="W210" s="583"/>
      <c r="X210" s="583"/>
    </row>
    <row r="211" spans="1:24" s="580" customFormat="1" ht="47.25">
      <c r="A211" s="235"/>
      <c r="B211" s="819" t="s">
        <v>531</v>
      </c>
      <c r="C211" s="820">
        <v>35800</v>
      </c>
      <c r="D211" s="68">
        <v>15290</v>
      </c>
      <c r="E211" s="194">
        <f t="shared" si="9"/>
        <v>-20510</v>
      </c>
      <c r="F211" s="195">
        <f t="shared" si="10"/>
        <v>42.709497206703908</v>
      </c>
      <c r="G211" s="452" t="s">
        <v>829</v>
      </c>
      <c r="H211" s="581"/>
      <c r="I211" s="582"/>
      <c r="J211" s="582"/>
      <c r="K211" s="582"/>
      <c r="L211" s="582"/>
      <c r="M211" s="582"/>
      <c r="N211" s="583"/>
      <c r="O211" s="583"/>
      <c r="P211" s="583"/>
      <c r="Q211" s="583"/>
      <c r="R211" s="583"/>
      <c r="S211" s="583"/>
      <c r="T211" s="583"/>
      <c r="U211" s="583"/>
      <c r="V211" s="583"/>
      <c r="W211" s="583"/>
      <c r="X211" s="583"/>
    </row>
    <row r="212" spans="1:24" s="198" customFormat="1" ht="31.5">
      <c r="A212" s="235"/>
      <c r="B212" s="750" t="s">
        <v>527</v>
      </c>
      <c r="C212" s="715"/>
      <c r="D212" s="704"/>
      <c r="E212" s="701"/>
      <c r="F212" s="701"/>
      <c r="G212" s="193"/>
      <c r="H212" s="322"/>
      <c r="I212" s="278"/>
      <c r="J212" s="278"/>
      <c r="K212" s="278"/>
      <c r="L212" s="278"/>
      <c r="M212" s="278"/>
      <c r="N212" s="281"/>
      <c r="O212" s="281"/>
      <c r="P212" s="281"/>
      <c r="Q212" s="281"/>
      <c r="R212" s="281"/>
      <c r="S212" s="281"/>
      <c r="T212" s="281"/>
      <c r="U212" s="281"/>
      <c r="V212" s="281"/>
      <c r="W212" s="281"/>
      <c r="X212" s="281"/>
    </row>
    <row r="213" spans="1:24" s="198" customFormat="1" ht="47.25">
      <c r="A213" s="235"/>
      <c r="B213" s="280" t="s">
        <v>532</v>
      </c>
      <c r="C213" s="820">
        <v>1600</v>
      </c>
      <c r="D213" s="68">
        <v>1499</v>
      </c>
      <c r="E213" s="194">
        <f t="shared" si="9"/>
        <v>-101</v>
      </c>
      <c r="F213" s="195">
        <f t="shared" si="10"/>
        <v>93.6875</v>
      </c>
      <c r="G213" s="193" t="s">
        <v>603</v>
      </c>
      <c r="H213" s="322"/>
      <c r="I213" s="278"/>
      <c r="J213" s="278"/>
      <c r="K213" s="278"/>
      <c r="L213" s="278"/>
      <c r="M213" s="278"/>
      <c r="N213" s="281"/>
      <c r="O213" s="281"/>
      <c r="P213" s="281"/>
      <c r="Q213" s="281"/>
      <c r="R213" s="281"/>
      <c r="S213" s="281"/>
      <c r="T213" s="281"/>
      <c r="U213" s="281"/>
      <c r="V213" s="281"/>
      <c r="W213" s="281"/>
      <c r="X213" s="281"/>
    </row>
    <row r="214" spans="1:24" s="198" customFormat="1" ht="47.25">
      <c r="A214" s="235"/>
      <c r="B214" s="749" t="s">
        <v>533</v>
      </c>
      <c r="C214" s="705">
        <v>3.75</v>
      </c>
      <c r="D214" s="705">
        <f>D201/D169</f>
        <v>2.078601280683031</v>
      </c>
      <c r="E214" s="700">
        <f t="shared" si="9"/>
        <v>-1.671398719316969</v>
      </c>
      <c r="F214" s="195">
        <f t="shared" si="10"/>
        <v>55.429367484880821</v>
      </c>
      <c r="G214" s="193" t="s">
        <v>608</v>
      </c>
      <c r="H214" s="323"/>
      <c r="I214" s="124"/>
      <c r="J214" s="124"/>
      <c r="K214" s="124"/>
      <c r="L214" s="124"/>
      <c r="M214" s="124"/>
      <c r="N214" s="234"/>
      <c r="O214" s="234"/>
      <c r="P214" s="234"/>
      <c r="Q214" s="234"/>
      <c r="R214" s="234"/>
      <c r="S214" s="234"/>
      <c r="T214" s="234"/>
      <c r="U214" s="234"/>
      <c r="V214" s="234"/>
      <c r="W214" s="234"/>
      <c r="X214" s="234"/>
    </row>
    <row r="215" spans="1:24" s="198" customFormat="1" ht="54" customHeight="1">
      <c r="A215" s="235"/>
      <c r="B215" s="749" t="s">
        <v>534</v>
      </c>
      <c r="C215" s="68">
        <v>90</v>
      </c>
      <c r="D215" s="68">
        <v>89</v>
      </c>
      <c r="E215" s="821">
        <f t="shared" si="9"/>
        <v>-1</v>
      </c>
      <c r="F215" s="195">
        <f t="shared" si="10"/>
        <v>98.888888888888886</v>
      </c>
      <c r="G215" s="764" t="s">
        <v>839</v>
      </c>
      <c r="H215" s="323"/>
      <c r="I215" s="124"/>
      <c r="J215" s="124"/>
      <c r="K215" s="124"/>
      <c r="L215" s="124"/>
      <c r="M215" s="124"/>
      <c r="N215" s="234"/>
      <c r="O215" s="234"/>
      <c r="P215" s="234"/>
      <c r="Q215" s="234"/>
      <c r="R215" s="234"/>
      <c r="S215" s="234"/>
      <c r="T215" s="234"/>
      <c r="U215" s="234"/>
      <c r="V215" s="234"/>
      <c r="W215" s="234"/>
      <c r="X215" s="234"/>
    </row>
    <row r="216" spans="1:24">
      <c r="A216" s="205" t="s">
        <v>159</v>
      </c>
      <c r="B216" s="1004" t="s">
        <v>535</v>
      </c>
      <c r="C216" s="1005"/>
      <c r="D216" s="1005"/>
      <c r="E216" s="1005"/>
      <c r="F216" s="1005"/>
      <c r="G216" s="1006"/>
    </row>
    <row r="217" spans="1:24" ht="82.5" customHeight="1">
      <c r="A217" s="213"/>
      <c r="B217" s="774" t="s">
        <v>536</v>
      </c>
      <c r="C217" s="712">
        <v>1680</v>
      </c>
      <c r="D217" s="712">
        <v>1407</v>
      </c>
      <c r="E217" s="121">
        <f>D217-C217</f>
        <v>-273</v>
      </c>
      <c r="F217" s="121">
        <f>D217/C217*100</f>
        <v>83.75</v>
      </c>
      <c r="G217" s="773" t="s">
        <v>863</v>
      </c>
    </row>
    <row r="218" spans="1:24" ht="110.25">
      <c r="A218" s="210"/>
      <c r="B218" s="774" t="s">
        <v>537</v>
      </c>
      <c r="C218" s="791">
        <v>92</v>
      </c>
      <c r="D218" s="791" t="s">
        <v>653</v>
      </c>
      <c r="E218" s="121" t="s">
        <v>653</v>
      </c>
      <c r="F218" s="121" t="s">
        <v>653</v>
      </c>
      <c r="G218" s="701" t="s">
        <v>707</v>
      </c>
    </row>
    <row r="219" spans="1:24" ht="36.75" customHeight="1">
      <c r="A219" s="208" t="s">
        <v>384</v>
      </c>
      <c r="B219" s="999" t="s">
        <v>538</v>
      </c>
      <c r="C219" s="1000"/>
      <c r="D219" s="1000"/>
      <c r="E219" s="1000"/>
      <c r="F219" s="1000"/>
      <c r="G219" s="1001"/>
    </row>
    <row r="220" spans="1:24" s="341" customFormat="1">
      <c r="A220" s="398"/>
      <c r="B220" s="453" t="s">
        <v>517</v>
      </c>
      <c r="C220" s="108">
        <f>'звіт ІІІ кв'!E82</f>
        <v>288</v>
      </c>
      <c r="D220" s="391">
        <v>0</v>
      </c>
      <c r="E220" s="336">
        <f>D220-C220</f>
        <v>-288</v>
      </c>
      <c r="F220" s="332">
        <f>D220/C220*100</f>
        <v>0</v>
      </c>
      <c r="G220" s="443" t="s">
        <v>660</v>
      </c>
      <c r="H220" s="340"/>
      <c r="I220" s="289"/>
      <c r="J220" s="289"/>
      <c r="K220" s="289"/>
      <c r="L220" s="289"/>
      <c r="M220" s="289"/>
      <c r="N220" s="289"/>
      <c r="O220" s="289"/>
      <c r="P220" s="289"/>
      <c r="Q220" s="289"/>
      <c r="R220" s="289"/>
      <c r="S220" s="289"/>
      <c r="T220" s="289"/>
      <c r="U220" s="289"/>
      <c r="V220" s="289"/>
      <c r="W220" s="289"/>
      <c r="X220" s="289"/>
    </row>
    <row r="221" spans="1:24" ht="47.25">
      <c r="A221" s="207"/>
      <c r="B221" s="454" t="s">
        <v>675</v>
      </c>
      <c r="C221" s="68">
        <v>5</v>
      </c>
      <c r="D221" s="791">
        <v>0</v>
      </c>
      <c r="E221" s="120">
        <f>D221-C221</f>
        <v>-5</v>
      </c>
      <c r="F221" s="121">
        <f>D221/C221*100</f>
        <v>0</v>
      </c>
      <c r="G221" s="701" t="s">
        <v>685</v>
      </c>
    </row>
    <row r="222" spans="1:24" ht="31.5">
      <c r="A222" s="207"/>
      <c r="B222" s="454" t="s">
        <v>676</v>
      </c>
      <c r="C222" s="68">
        <f>C220/C221</f>
        <v>57.6</v>
      </c>
      <c r="D222" s="765">
        <v>0</v>
      </c>
      <c r="E222" s="120">
        <f>D222-C222</f>
        <v>-57.6</v>
      </c>
      <c r="F222" s="121">
        <f>D222/C222*100</f>
        <v>0</v>
      </c>
      <c r="G222" s="701" t="s">
        <v>685</v>
      </c>
    </row>
    <row r="223" spans="1:24" ht="47.25">
      <c r="A223" s="207"/>
      <c r="B223" s="454" t="s">
        <v>677</v>
      </c>
      <c r="C223" s="68">
        <v>16</v>
      </c>
      <c r="D223" s="791">
        <v>0</v>
      </c>
      <c r="E223" s="120">
        <f>D223-C223</f>
        <v>-16</v>
      </c>
      <c r="F223" s="121">
        <f>D223/C223*100</f>
        <v>0</v>
      </c>
      <c r="G223" s="701" t="s">
        <v>685</v>
      </c>
    </row>
    <row r="224" spans="1:24">
      <c r="A224" s="211" t="s">
        <v>163</v>
      </c>
      <c r="B224" s="996" t="s">
        <v>539</v>
      </c>
      <c r="C224" s="997"/>
      <c r="D224" s="997"/>
      <c r="E224" s="997"/>
      <c r="F224" s="997"/>
      <c r="G224" s="998"/>
    </row>
    <row r="225" spans="1:7" ht="78.75">
      <c r="A225" s="213"/>
      <c r="B225" s="774" t="s">
        <v>540</v>
      </c>
      <c r="C225" s="791">
        <v>20</v>
      </c>
      <c r="D225" s="791">
        <v>5</v>
      </c>
      <c r="E225" s="120">
        <f>D225-C225</f>
        <v>-15</v>
      </c>
      <c r="F225" s="121">
        <f>D225/C225*100</f>
        <v>25</v>
      </c>
      <c r="G225" s="701" t="s">
        <v>937</v>
      </c>
    </row>
    <row r="226" spans="1:7" ht="47.25">
      <c r="A226" s="209"/>
      <c r="B226" s="774" t="s">
        <v>541</v>
      </c>
      <c r="C226" s="791">
        <v>100</v>
      </c>
      <c r="D226" s="766">
        <v>100</v>
      </c>
      <c r="E226" s="775">
        <f>D226-C226</f>
        <v>0</v>
      </c>
      <c r="F226" s="121">
        <f>D226/C226*100</f>
        <v>100</v>
      </c>
      <c r="G226" s="701" t="s">
        <v>400</v>
      </c>
    </row>
    <row r="227" spans="1:7" ht="47.25">
      <c r="A227" s="210"/>
      <c r="B227" s="774" t="s">
        <v>236</v>
      </c>
      <c r="C227" s="791">
        <v>100</v>
      </c>
      <c r="D227" s="791">
        <v>100</v>
      </c>
      <c r="E227" s="120">
        <f>D227-C227</f>
        <v>0</v>
      </c>
      <c r="F227" s="121">
        <f>D227/C227*100</f>
        <v>100</v>
      </c>
      <c r="G227" s="701" t="s">
        <v>400</v>
      </c>
    </row>
    <row r="228" spans="1:7">
      <c r="A228" s="125"/>
    </row>
    <row r="229" spans="1:7">
      <c r="A229" s="125"/>
    </row>
    <row r="230" spans="1:7">
      <c r="A230" s="125"/>
      <c r="B230" s="237" t="s">
        <v>835</v>
      </c>
      <c r="C230" s="415" t="s">
        <v>836</v>
      </c>
    </row>
    <row r="231" spans="1:7" ht="43.5" customHeight="1">
      <c r="A231" s="125"/>
    </row>
    <row r="232" spans="1:7" ht="16.5" customHeight="1">
      <c r="A232" s="125"/>
      <c r="B232" s="720" t="s">
        <v>837</v>
      </c>
    </row>
    <row r="233" spans="1:7">
      <c r="A233" s="125"/>
    </row>
    <row r="234" spans="1:7">
      <c r="A234" s="125"/>
    </row>
    <row r="235" spans="1:7">
      <c r="A235" s="125"/>
    </row>
    <row r="236" spans="1:7">
      <c r="A236" s="125"/>
    </row>
    <row r="237" spans="1:7">
      <c r="A237" s="125"/>
    </row>
    <row r="238" spans="1:7">
      <c r="A238" s="125"/>
    </row>
    <row r="239" spans="1:7">
      <c r="A239" s="125"/>
    </row>
    <row r="240" spans="1:7">
      <c r="A240" s="125"/>
    </row>
    <row r="241" spans="1:1">
      <c r="A241" s="125"/>
    </row>
    <row r="242" spans="1:1">
      <c r="A242" s="125"/>
    </row>
    <row r="243" spans="1:1">
      <c r="A243" s="125"/>
    </row>
    <row r="244" spans="1:1">
      <c r="A244" s="125"/>
    </row>
    <row r="245" spans="1:1">
      <c r="A245" s="125"/>
    </row>
    <row r="246" spans="1:1">
      <c r="A246" s="125"/>
    </row>
    <row r="247" spans="1:1">
      <c r="A247" s="125"/>
    </row>
    <row r="248" spans="1:1">
      <c r="A248" s="125"/>
    </row>
    <row r="249" spans="1:1">
      <c r="A249" s="125"/>
    </row>
    <row r="250" spans="1:1">
      <c r="A250" s="125"/>
    </row>
    <row r="251" spans="1:1">
      <c r="A251" s="125"/>
    </row>
    <row r="252" spans="1:1">
      <c r="A252" s="125"/>
    </row>
    <row r="253" spans="1:1">
      <c r="A253" s="125"/>
    </row>
    <row r="254" spans="1:1">
      <c r="A254" s="125"/>
    </row>
    <row r="255" spans="1:1">
      <c r="A255" s="125"/>
    </row>
    <row r="256" spans="1:1">
      <c r="A256" s="125"/>
    </row>
    <row r="257" spans="1:1">
      <c r="A257" s="125"/>
    </row>
    <row r="258" spans="1:1">
      <c r="A258" s="125"/>
    </row>
    <row r="259" spans="1:1">
      <c r="A259" s="125"/>
    </row>
    <row r="260" spans="1:1">
      <c r="A260" s="125"/>
    </row>
    <row r="261" spans="1:1">
      <c r="A261" s="125"/>
    </row>
    <row r="262" spans="1:1">
      <c r="A262" s="125"/>
    </row>
    <row r="263" spans="1:1">
      <c r="A263" s="125"/>
    </row>
    <row r="264" spans="1:1">
      <c r="A264" s="125"/>
    </row>
    <row r="265" spans="1:1">
      <c r="A265" s="125"/>
    </row>
    <row r="266" spans="1:1">
      <c r="A266" s="125"/>
    </row>
    <row r="267" spans="1:1">
      <c r="A267" s="125"/>
    </row>
    <row r="268" spans="1:1">
      <c r="A268" s="125"/>
    </row>
    <row r="269" spans="1:1">
      <c r="A269" s="125"/>
    </row>
    <row r="270" spans="1:1">
      <c r="A270" s="125"/>
    </row>
    <row r="271" spans="1:1">
      <c r="A271" s="125"/>
    </row>
    <row r="272" spans="1:1">
      <c r="A272" s="125"/>
    </row>
    <row r="273" spans="1:1">
      <c r="A273" s="125"/>
    </row>
    <row r="274" spans="1:1">
      <c r="A274" s="125"/>
    </row>
    <row r="275" spans="1:1">
      <c r="A275" s="125"/>
    </row>
    <row r="276" spans="1:1">
      <c r="A276" s="125"/>
    </row>
    <row r="277" spans="1:1">
      <c r="A277" s="125"/>
    </row>
    <row r="278" spans="1:1">
      <c r="A278" s="125"/>
    </row>
    <row r="279" spans="1:1">
      <c r="A279" s="125"/>
    </row>
    <row r="280" spans="1:1">
      <c r="A280" s="125"/>
    </row>
    <row r="281" spans="1:1">
      <c r="A281" s="125"/>
    </row>
    <row r="282" spans="1:1">
      <c r="A282" s="125"/>
    </row>
    <row r="283" spans="1:1">
      <c r="A283" s="125"/>
    </row>
    <row r="284" spans="1:1">
      <c r="A284" s="125"/>
    </row>
    <row r="285" spans="1:1">
      <c r="A285" s="125"/>
    </row>
    <row r="286" spans="1:1">
      <c r="A286" s="125"/>
    </row>
    <row r="287" spans="1:1">
      <c r="A287" s="125"/>
    </row>
    <row r="288" spans="1:1">
      <c r="A288" s="125"/>
    </row>
    <row r="289" spans="1:1">
      <c r="A289" s="125"/>
    </row>
    <row r="290" spans="1:1">
      <c r="A290" s="125"/>
    </row>
    <row r="291" spans="1:1">
      <c r="A291" s="125"/>
    </row>
    <row r="292" spans="1:1">
      <c r="A292" s="125"/>
    </row>
    <row r="293" spans="1:1">
      <c r="A293" s="125"/>
    </row>
    <row r="294" spans="1:1">
      <c r="A294" s="125"/>
    </row>
    <row r="295" spans="1:1">
      <c r="A295" s="125"/>
    </row>
    <row r="296" spans="1:1">
      <c r="A296" s="125"/>
    </row>
    <row r="297" spans="1:1">
      <c r="A297" s="125"/>
    </row>
    <row r="298" spans="1:1">
      <c r="A298" s="125"/>
    </row>
    <row r="299" spans="1:1">
      <c r="A299" s="125"/>
    </row>
    <row r="300" spans="1:1">
      <c r="A300" s="125"/>
    </row>
    <row r="301" spans="1:1">
      <c r="A301" s="125"/>
    </row>
    <row r="302" spans="1:1">
      <c r="A302" s="125"/>
    </row>
    <row r="303" spans="1:1">
      <c r="A303" s="125"/>
    </row>
    <row r="304" spans="1:1">
      <c r="A304" s="125"/>
    </row>
    <row r="305" spans="1:1">
      <c r="A305" s="125"/>
    </row>
    <row r="306" spans="1:1">
      <c r="A306" s="125"/>
    </row>
    <row r="307" spans="1:1">
      <c r="A307" s="125"/>
    </row>
    <row r="308" spans="1:1">
      <c r="A308" s="125"/>
    </row>
    <row r="309" spans="1:1">
      <c r="A309" s="125"/>
    </row>
    <row r="310" spans="1:1">
      <c r="A310" s="125"/>
    </row>
    <row r="311" spans="1:1">
      <c r="A311" s="125"/>
    </row>
    <row r="312" spans="1:1">
      <c r="A312" s="125"/>
    </row>
    <row r="313" spans="1:1">
      <c r="A313" s="125"/>
    </row>
    <row r="314" spans="1:1">
      <c r="A314" s="125"/>
    </row>
    <row r="315" spans="1:1">
      <c r="A315" s="125"/>
    </row>
    <row r="316" spans="1:1">
      <c r="A316" s="125"/>
    </row>
    <row r="317" spans="1:1">
      <c r="A317" s="125"/>
    </row>
    <row r="318" spans="1:1">
      <c r="A318" s="125"/>
    </row>
    <row r="319" spans="1:1">
      <c r="A319" s="125"/>
    </row>
    <row r="320" spans="1:1">
      <c r="A320" s="125"/>
    </row>
    <row r="321" spans="1:1">
      <c r="A321" s="125"/>
    </row>
    <row r="322" spans="1:1">
      <c r="A322" s="125"/>
    </row>
    <row r="323" spans="1:1">
      <c r="A323" s="125"/>
    </row>
    <row r="324" spans="1:1">
      <c r="A324" s="125"/>
    </row>
    <row r="325" spans="1:1">
      <c r="A325" s="125"/>
    </row>
    <row r="326" spans="1:1">
      <c r="A326" s="125"/>
    </row>
    <row r="327" spans="1:1">
      <c r="A327" s="125"/>
    </row>
    <row r="328" spans="1:1">
      <c r="A328" s="125"/>
    </row>
    <row r="329" spans="1:1">
      <c r="A329" s="125"/>
    </row>
    <row r="330" spans="1:1">
      <c r="A330" s="125"/>
    </row>
    <row r="331" spans="1:1">
      <c r="A331" s="125"/>
    </row>
    <row r="332" spans="1:1">
      <c r="A332" s="125"/>
    </row>
    <row r="333" spans="1:1">
      <c r="A333" s="125"/>
    </row>
    <row r="334" spans="1:1">
      <c r="A334" s="125"/>
    </row>
    <row r="335" spans="1:1">
      <c r="A335" s="125"/>
    </row>
    <row r="336" spans="1:1">
      <c r="A336" s="125"/>
    </row>
    <row r="337" spans="1:1">
      <c r="A337" s="125"/>
    </row>
    <row r="338" spans="1:1">
      <c r="A338" s="125"/>
    </row>
    <row r="339" spans="1:1">
      <c r="A339" s="125"/>
    </row>
    <row r="340" spans="1:1">
      <c r="A340" s="125"/>
    </row>
    <row r="341" spans="1:1">
      <c r="A341" s="125"/>
    </row>
    <row r="342" spans="1:1">
      <c r="A342" s="125"/>
    </row>
    <row r="343" spans="1:1">
      <c r="A343" s="125"/>
    </row>
    <row r="344" spans="1:1">
      <c r="A344" s="125"/>
    </row>
    <row r="345" spans="1:1">
      <c r="A345" s="125"/>
    </row>
    <row r="346" spans="1:1">
      <c r="A346" s="125"/>
    </row>
    <row r="347" spans="1:1">
      <c r="A347" s="125"/>
    </row>
    <row r="348" spans="1:1">
      <c r="A348" s="125"/>
    </row>
    <row r="349" spans="1:1">
      <c r="A349" s="125"/>
    </row>
    <row r="350" spans="1:1">
      <c r="A350" s="125"/>
    </row>
    <row r="351" spans="1:1">
      <c r="A351" s="125"/>
    </row>
    <row r="352" spans="1:1">
      <c r="A352" s="125"/>
    </row>
    <row r="353" spans="1:1">
      <c r="A353" s="125"/>
    </row>
    <row r="354" spans="1:1">
      <c r="A354" s="125"/>
    </row>
    <row r="355" spans="1:1">
      <c r="A355" s="125"/>
    </row>
    <row r="356" spans="1:1">
      <c r="A356" s="125"/>
    </row>
    <row r="357" spans="1:1">
      <c r="A357" s="125"/>
    </row>
    <row r="358" spans="1:1">
      <c r="A358" s="125"/>
    </row>
    <row r="359" spans="1:1">
      <c r="A359" s="125"/>
    </row>
    <row r="360" spans="1:1">
      <c r="A360" s="125"/>
    </row>
    <row r="361" spans="1:1">
      <c r="A361" s="125"/>
    </row>
    <row r="362" spans="1:1">
      <c r="A362" s="125"/>
    </row>
    <row r="363" spans="1:1">
      <c r="A363" s="125"/>
    </row>
    <row r="364" spans="1:1">
      <c r="A364" s="125"/>
    </row>
    <row r="365" spans="1:1">
      <c r="A365" s="125"/>
    </row>
    <row r="366" spans="1:1">
      <c r="A366" s="125"/>
    </row>
    <row r="367" spans="1:1">
      <c r="A367" s="125"/>
    </row>
    <row r="368" spans="1:1">
      <c r="A368" s="125"/>
    </row>
    <row r="369" spans="1:1">
      <c r="A369" s="125"/>
    </row>
    <row r="370" spans="1:1">
      <c r="A370" s="125"/>
    </row>
    <row r="371" spans="1:1">
      <c r="A371" s="125"/>
    </row>
    <row r="372" spans="1:1">
      <c r="A372" s="125"/>
    </row>
    <row r="373" spans="1:1">
      <c r="A373" s="125"/>
    </row>
    <row r="374" spans="1:1">
      <c r="A374" s="125"/>
    </row>
    <row r="375" spans="1:1">
      <c r="A375" s="125"/>
    </row>
    <row r="376" spans="1:1">
      <c r="A376" s="125"/>
    </row>
    <row r="377" spans="1:1">
      <c r="A377" s="125"/>
    </row>
    <row r="378" spans="1:1">
      <c r="A378" s="125"/>
    </row>
    <row r="379" spans="1:1">
      <c r="A379" s="125"/>
    </row>
    <row r="380" spans="1:1">
      <c r="A380" s="125"/>
    </row>
    <row r="381" spans="1:1">
      <c r="A381" s="125"/>
    </row>
    <row r="382" spans="1:1">
      <c r="A382" s="125"/>
    </row>
    <row r="383" spans="1:1">
      <c r="A383" s="125"/>
    </row>
    <row r="384" spans="1:1">
      <c r="A384" s="125"/>
    </row>
    <row r="385" spans="1:1">
      <c r="A385" s="125"/>
    </row>
    <row r="386" spans="1:1">
      <c r="A386" s="125"/>
    </row>
    <row r="387" spans="1:1">
      <c r="A387" s="125"/>
    </row>
    <row r="388" spans="1:1">
      <c r="A388" s="125"/>
    </row>
    <row r="389" spans="1:1">
      <c r="A389" s="125"/>
    </row>
    <row r="390" spans="1:1">
      <c r="A390" s="125"/>
    </row>
    <row r="391" spans="1:1">
      <c r="A391" s="125"/>
    </row>
    <row r="392" spans="1:1">
      <c r="A392" s="125"/>
    </row>
    <row r="393" spans="1:1">
      <c r="A393" s="125"/>
    </row>
    <row r="394" spans="1:1">
      <c r="A394" s="125"/>
    </row>
    <row r="395" spans="1:1">
      <c r="A395" s="125"/>
    </row>
    <row r="396" spans="1:1">
      <c r="A396" s="125"/>
    </row>
    <row r="397" spans="1:1">
      <c r="A397" s="125"/>
    </row>
    <row r="398" spans="1:1">
      <c r="A398" s="125"/>
    </row>
    <row r="399" spans="1:1">
      <c r="A399" s="125"/>
    </row>
    <row r="400" spans="1:1">
      <c r="A400" s="125"/>
    </row>
    <row r="401" spans="1:1">
      <c r="A401" s="125"/>
    </row>
    <row r="402" spans="1:1">
      <c r="A402" s="125"/>
    </row>
    <row r="403" spans="1:1">
      <c r="A403" s="125"/>
    </row>
    <row r="404" spans="1:1">
      <c r="A404" s="125"/>
    </row>
    <row r="405" spans="1:1">
      <c r="A405" s="125"/>
    </row>
    <row r="406" spans="1:1">
      <c r="A406" s="125"/>
    </row>
    <row r="407" spans="1:1">
      <c r="A407" s="125"/>
    </row>
    <row r="408" spans="1:1">
      <c r="A408" s="125"/>
    </row>
    <row r="409" spans="1:1">
      <c r="A409" s="125"/>
    </row>
    <row r="410" spans="1:1">
      <c r="A410" s="125"/>
    </row>
    <row r="411" spans="1:1">
      <c r="A411" s="125"/>
    </row>
    <row r="412" spans="1:1">
      <c r="A412" s="125"/>
    </row>
    <row r="413" spans="1:1">
      <c r="A413" s="125"/>
    </row>
    <row r="414" spans="1:1">
      <c r="A414" s="125"/>
    </row>
    <row r="415" spans="1:1">
      <c r="A415" s="125"/>
    </row>
    <row r="416" spans="1:1">
      <c r="A416" s="125"/>
    </row>
    <row r="417" spans="1:1">
      <c r="A417" s="125"/>
    </row>
    <row r="418" spans="1:1">
      <c r="A418" s="125"/>
    </row>
    <row r="419" spans="1:1">
      <c r="A419" s="125"/>
    </row>
    <row r="420" spans="1:1">
      <c r="A420" s="125"/>
    </row>
    <row r="421" spans="1:1">
      <c r="A421" s="125"/>
    </row>
    <row r="422" spans="1:1">
      <c r="A422" s="125"/>
    </row>
    <row r="423" spans="1:1">
      <c r="A423" s="125"/>
    </row>
    <row r="424" spans="1:1">
      <c r="A424" s="125"/>
    </row>
    <row r="425" spans="1:1">
      <c r="A425" s="125"/>
    </row>
    <row r="426" spans="1:1">
      <c r="A426" s="125"/>
    </row>
    <row r="427" spans="1:1">
      <c r="A427" s="125"/>
    </row>
    <row r="428" spans="1:1">
      <c r="A428" s="125"/>
    </row>
    <row r="429" spans="1:1">
      <c r="A429" s="125"/>
    </row>
    <row r="430" spans="1:1">
      <c r="A430" s="125"/>
    </row>
    <row r="431" spans="1:1">
      <c r="A431" s="125"/>
    </row>
    <row r="432" spans="1:1">
      <c r="A432" s="125"/>
    </row>
    <row r="433" spans="1:1">
      <c r="A433" s="125"/>
    </row>
    <row r="434" spans="1:1">
      <c r="A434" s="125"/>
    </row>
    <row r="435" spans="1:1">
      <c r="A435" s="125"/>
    </row>
    <row r="436" spans="1:1">
      <c r="A436" s="125"/>
    </row>
    <row r="437" spans="1:1">
      <c r="A437" s="125"/>
    </row>
    <row r="438" spans="1:1">
      <c r="A438" s="125"/>
    </row>
    <row r="439" spans="1:1">
      <c r="A439" s="125"/>
    </row>
    <row r="440" spans="1:1">
      <c r="A440" s="125"/>
    </row>
    <row r="441" spans="1:1">
      <c r="A441" s="125"/>
    </row>
    <row r="442" spans="1:1">
      <c r="A442" s="125"/>
    </row>
    <row r="443" spans="1:1">
      <c r="A443" s="125"/>
    </row>
    <row r="444" spans="1:1">
      <c r="A444" s="125"/>
    </row>
    <row r="445" spans="1:1">
      <c r="A445" s="125"/>
    </row>
    <row r="446" spans="1:1">
      <c r="A446" s="125"/>
    </row>
    <row r="447" spans="1:1">
      <c r="A447" s="125"/>
    </row>
    <row r="448" spans="1:1">
      <c r="A448" s="125"/>
    </row>
    <row r="449" spans="1:1">
      <c r="A449" s="125"/>
    </row>
    <row r="450" spans="1:1">
      <c r="A450" s="125"/>
    </row>
    <row r="451" spans="1:1">
      <c r="A451" s="125"/>
    </row>
    <row r="452" spans="1:1">
      <c r="A452" s="125"/>
    </row>
    <row r="453" spans="1:1">
      <c r="A453" s="125"/>
    </row>
    <row r="454" spans="1:1">
      <c r="A454" s="125"/>
    </row>
    <row r="455" spans="1:1">
      <c r="A455" s="125"/>
    </row>
    <row r="456" spans="1:1">
      <c r="A456" s="125"/>
    </row>
    <row r="457" spans="1:1">
      <c r="A457" s="125"/>
    </row>
    <row r="458" spans="1:1">
      <c r="A458" s="125"/>
    </row>
    <row r="459" spans="1:1">
      <c r="A459" s="125"/>
    </row>
    <row r="460" spans="1:1">
      <c r="A460" s="125"/>
    </row>
    <row r="461" spans="1:1">
      <c r="A461" s="125"/>
    </row>
    <row r="462" spans="1:1">
      <c r="A462" s="125"/>
    </row>
    <row r="463" spans="1:1">
      <c r="A463" s="125"/>
    </row>
    <row r="464" spans="1:1">
      <c r="A464" s="125"/>
    </row>
    <row r="465" spans="1:1">
      <c r="A465" s="125"/>
    </row>
    <row r="466" spans="1:1">
      <c r="A466" s="125"/>
    </row>
    <row r="467" spans="1:1">
      <c r="A467" s="125"/>
    </row>
    <row r="468" spans="1:1">
      <c r="A468" s="125"/>
    </row>
    <row r="469" spans="1:1">
      <c r="A469" s="125"/>
    </row>
    <row r="470" spans="1:1">
      <c r="A470" s="125"/>
    </row>
    <row r="471" spans="1:1">
      <c r="A471" s="125"/>
    </row>
    <row r="472" spans="1:1">
      <c r="A472" s="125"/>
    </row>
    <row r="473" spans="1:1">
      <c r="A473" s="125"/>
    </row>
    <row r="474" spans="1:1">
      <c r="A474" s="125"/>
    </row>
    <row r="475" spans="1:1">
      <c r="A475" s="125"/>
    </row>
    <row r="476" spans="1:1">
      <c r="A476" s="125"/>
    </row>
    <row r="477" spans="1:1">
      <c r="A477" s="125"/>
    </row>
    <row r="478" spans="1:1">
      <c r="A478" s="125"/>
    </row>
    <row r="479" spans="1:1">
      <c r="A479" s="125"/>
    </row>
    <row r="480" spans="1:1">
      <c r="A480" s="125"/>
    </row>
    <row r="481" spans="1:1">
      <c r="A481" s="125"/>
    </row>
    <row r="482" spans="1:1">
      <c r="A482" s="125"/>
    </row>
    <row r="483" spans="1:1">
      <c r="A483" s="125"/>
    </row>
    <row r="484" spans="1:1">
      <c r="A484" s="125"/>
    </row>
    <row r="485" spans="1:1">
      <c r="A485" s="125"/>
    </row>
    <row r="486" spans="1:1">
      <c r="A486" s="125"/>
    </row>
    <row r="487" spans="1:1">
      <c r="A487" s="125"/>
    </row>
    <row r="488" spans="1:1">
      <c r="A488" s="125"/>
    </row>
    <row r="489" spans="1:1">
      <c r="A489" s="125"/>
    </row>
    <row r="490" spans="1:1">
      <c r="A490" s="125"/>
    </row>
    <row r="491" spans="1:1">
      <c r="A491" s="125"/>
    </row>
    <row r="492" spans="1:1">
      <c r="A492" s="125"/>
    </row>
    <row r="493" spans="1:1">
      <c r="A493" s="125"/>
    </row>
    <row r="494" spans="1:1">
      <c r="A494" s="125"/>
    </row>
    <row r="495" spans="1:1">
      <c r="A495" s="125"/>
    </row>
    <row r="496" spans="1:1">
      <c r="A496" s="125"/>
    </row>
    <row r="497" spans="1:1">
      <c r="A497" s="125"/>
    </row>
    <row r="498" spans="1:1">
      <c r="A498" s="125"/>
    </row>
    <row r="499" spans="1:1">
      <c r="A499" s="125"/>
    </row>
    <row r="500" spans="1:1">
      <c r="A500" s="125"/>
    </row>
    <row r="501" spans="1:1">
      <c r="A501" s="125"/>
    </row>
    <row r="502" spans="1:1">
      <c r="A502" s="125"/>
    </row>
    <row r="503" spans="1:1">
      <c r="A503" s="125"/>
    </row>
    <row r="504" spans="1:1">
      <c r="A504" s="125"/>
    </row>
    <row r="505" spans="1:1">
      <c r="A505" s="125"/>
    </row>
    <row r="506" spans="1:1">
      <c r="A506" s="125"/>
    </row>
    <row r="507" spans="1:1">
      <c r="A507" s="125"/>
    </row>
    <row r="508" spans="1:1">
      <c r="A508" s="125"/>
    </row>
    <row r="509" spans="1:1">
      <c r="A509" s="125"/>
    </row>
    <row r="510" spans="1:1">
      <c r="A510" s="125"/>
    </row>
    <row r="511" spans="1:1">
      <c r="A511" s="125"/>
    </row>
    <row r="512" spans="1:1">
      <c r="A512" s="125"/>
    </row>
    <row r="513" spans="1:1">
      <c r="A513" s="125"/>
    </row>
    <row r="514" spans="1:1">
      <c r="A514" s="125"/>
    </row>
    <row r="515" spans="1:1">
      <c r="A515" s="125"/>
    </row>
    <row r="516" spans="1:1">
      <c r="A516" s="125"/>
    </row>
    <row r="517" spans="1:1">
      <c r="A517" s="125"/>
    </row>
    <row r="518" spans="1:1">
      <c r="A518" s="125"/>
    </row>
    <row r="519" spans="1:1">
      <c r="A519" s="125"/>
    </row>
    <row r="520" spans="1:1">
      <c r="A520" s="125"/>
    </row>
    <row r="521" spans="1:1">
      <c r="A521" s="125"/>
    </row>
    <row r="522" spans="1:1">
      <c r="A522" s="125"/>
    </row>
    <row r="523" spans="1:1">
      <c r="A523" s="125"/>
    </row>
    <row r="524" spans="1:1">
      <c r="A524" s="125"/>
    </row>
    <row r="525" spans="1:1">
      <c r="A525" s="125"/>
    </row>
    <row r="526" spans="1:1">
      <c r="A526" s="125"/>
    </row>
    <row r="527" spans="1:1">
      <c r="A527" s="125"/>
    </row>
    <row r="528" spans="1:1">
      <c r="A528" s="125"/>
    </row>
    <row r="529" spans="1:1">
      <c r="A529" s="125"/>
    </row>
    <row r="530" spans="1:1">
      <c r="A530" s="125"/>
    </row>
    <row r="531" spans="1:1">
      <c r="A531" s="125"/>
    </row>
    <row r="532" spans="1:1">
      <c r="A532" s="125"/>
    </row>
    <row r="533" spans="1:1">
      <c r="A533" s="125"/>
    </row>
    <row r="534" spans="1:1">
      <c r="A534" s="125"/>
    </row>
    <row r="535" spans="1:1">
      <c r="A535" s="125"/>
    </row>
    <row r="536" spans="1:1">
      <c r="A536" s="125"/>
    </row>
    <row r="537" spans="1:1">
      <c r="A537" s="125"/>
    </row>
    <row r="538" spans="1:1">
      <c r="A538" s="125"/>
    </row>
    <row r="539" spans="1:1">
      <c r="A539" s="125"/>
    </row>
    <row r="540" spans="1:1">
      <c r="A540" s="125"/>
    </row>
    <row r="541" spans="1:1">
      <c r="A541" s="125"/>
    </row>
    <row r="542" spans="1:1">
      <c r="A542" s="125"/>
    </row>
    <row r="543" spans="1:1">
      <c r="A543" s="125"/>
    </row>
    <row r="544" spans="1:1">
      <c r="A544" s="125"/>
    </row>
    <row r="545" spans="1:1">
      <c r="A545" s="125"/>
    </row>
    <row r="546" spans="1:1">
      <c r="A546" s="125"/>
    </row>
    <row r="547" spans="1:1">
      <c r="A547" s="125"/>
    </row>
    <row r="548" spans="1:1">
      <c r="A548" s="125"/>
    </row>
    <row r="549" spans="1:1">
      <c r="A549" s="125"/>
    </row>
    <row r="550" spans="1:1">
      <c r="A550" s="125"/>
    </row>
    <row r="551" spans="1:1">
      <c r="A551" s="125"/>
    </row>
    <row r="552" spans="1:1">
      <c r="A552" s="125"/>
    </row>
    <row r="553" spans="1:1">
      <c r="A553" s="125"/>
    </row>
    <row r="554" spans="1:1">
      <c r="A554" s="125"/>
    </row>
    <row r="555" spans="1:1">
      <c r="A555" s="125"/>
    </row>
    <row r="556" spans="1:1">
      <c r="A556" s="125"/>
    </row>
    <row r="557" spans="1:1">
      <c r="A557" s="125"/>
    </row>
    <row r="558" spans="1:1">
      <c r="A558" s="125"/>
    </row>
    <row r="559" spans="1:1">
      <c r="A559" s="125"/>
    </row>
    <row r="560" spans="1:1">
      <c r="A560" s="125"/>
    </row>
    <row r="561" spans="1:1">
      <c r="A561" s="125"/>
    </row>
    <row r="562" spans="1:1">
      <c r="A562" s="125"/>
    </row>
    <row r="563" spans="1:1">
      <c r="A563" s="125"/>
    </row>
    <row r="564" spans="1:1">
      <c r="A564" s="125"/>
    </row>
    <row r="565" spans="1:1">
      <c r="A565" s="125"/>
    </row>
    <row r="566" spans="1:1">
      <c r="A566" s="125"/>
    </row>
    <row r="567" spans="1:1">
      <c r="A567" s="125"/>
    </row>
    <row r="568" spans="1:1">
      <c r="A568" s="125"/>
    </row>
    <row r="569" spans="1:1">
      <c r="A569" s="125"/>
    </row>
    <row r="570" spans="1:1">
      <c r="A570" s="125"/>
    </row>
    <row r="571" spans="1:1">
      <c r="A571" s="125"/>
    </row>
    <row r="572" spans="1:1">
      <c r="A572" s="125"/>
    </row>
    <row r="573" spans="1:1">
      <c r="A573" s="125"/>
    </row>
    <row r="574" spans="1:1">
      <c r="A574" s="125"/>
    </row>
    <row r="575" spans="1:1">
      <c r="A575" s="125"/>
    </row>
    <row r="576" spans="1:1">
      <c r="A576" s="125"/>
    </row>
    <row r="577" spans="1:1">
      <c r="A577" s="125"/>
    </row>
    <row r="578" spans="1:1">
      <c r="A578" s="125"/>
    </row>
    <row r="579" spans="1:1">
      <c r="A579" s="125"/>
    </row>
    <row r="580" spans="1:1">
      <c r="A580" s="125"/>
    </row>
    <row r="581" spans="1:1">
      <c r="A581" s="125"/>
    </row>
    <row r="582" spans="1:1">
      <c r="A582" s="125"/>
    </row>
    <row r="583" spans="1:1">
      <c r="A583" s="125"/>
    </row>
    <row r="584" spans="1:1">
      <c r="A584" s="125"/>
    </row>
    <row r="585" spans="1:1">
      <c r="A585" s="125"/>
    </row>
    <row r="586" spans="1:1">
      <c r="A586" s="125"/>
    </row>
    <row r="587" spans="1:1">
      <c r="A587" s="125"/>
    </row>
    <row r="588" spans="1:1">
      <c r="A588" s="125"/>
    </row>
    <row r="589" spans="1:1">
      <c r="A589" s="125"/>
    </row>
    <row r="590" spans="1:1">
      <c r="A590" s="125"/>
    </row>
    <row r="591" spans="1:1">
      <c r="A591" s="125"/>
    </row>
    <row r="592" spans="1:1">
      <c r="A592" s="125"/>
    </row>
    <row r="593" spans="1:1">
      <c r="A593" s="125"/>
    </row>
    <row r="594" spans="1:1">
      <c r="A594" s="125"/>
    </row>
    <row r="595" spans="1:1">
      <c r="A595" s="125"/>
    </row>
    <row r="596" spans="1:1">
      <c r="A596" s="125"/>
    </row>
    <row r="597" spans="1:1">
      <c r="A597" s="125"/>
    </row>
    <row r="598" spans="1:1">
      <c r="A598" s="125"/>
    </row>
    <row r="599" spans="1:1">
      <c r="A599" s="125"/>
    </row>
    <row r="600" spans="1:1">
      <c r="A600" s="125"/>
    </row>
    <row r="601" spans="1:1">
      <c r="A601" s="125"/>
    </row>
    <row r="602" spans="1:1">
      <c r="A602" s="125"/>
    </row>
    <row r="603" spans="1:1">
      <c r="A603" s="125"/>
    </row>
    <row r="604" spans="1:1">
      <c r="A604" s="125"/>
    </row>
    <row r="605" spans="1:1">
      <c r="A605" s="125"/>
    </row>
    <row r="606" spans="1:1">
      <c r="A606" s="125"/>
    </row>
    <row r="607" spans="1:1">
      <c r="A607" s="125"/>
    </row>
    <row r="608" spans="1:1">
      <c r="A608" s="125"/>
    </row>
    <row r="609" spans="1:1">
      <c r="A609" s="125"/>
    </row>
  </sheetData>
  <mergeCells count="44">
    <mergeCell ref="B224:G224"/>
    <mergeCell ref="B195:G195"/>
    <mergeCell ref="B200:G200"/>
    <mergeCell ref="B202:G202"/>
    <mergeCell ref="B216:G216"/>
    <mergeCell ref="B219:G219"/>
    <mergeCell ref="B160:G160"/>
    <mergeCell ref="B165:G165"/>
    <mergeCell ref="B166:G166"/>
    <mergeCell ref="B179:G179"/>
    <mergeCell ref="B190:G190"/>
    <mergeCell ref="B110:G110"/>
    <mergeCell ref="B111:G111"/>
    <mergeCell ref="B136:G136"/>
    <mergeCell ref="B141:G141"/>
    <mergeCell ref="B146:G146"/>
    <mergeCell ref="B90:G90"/>
    <mergeCell ref="B95:G95"/>
    <mergeCell ref="B98:G98"/>
    <mergeCell ref="B100:G100"/>
    <mergeCell ref="B105:G105"/>
    <mergeCell ref="B64:G64"/>
    <mergeCell ref="B74:G74"/>
    <mergeCell ref="B79:G79"/>
    <mergeCell ref="B80:G80"/>
    <mergeCell ref="B87:G87"/>
    <mergeCell ref="B33:G33"/>
    <mergeCell ref="B36:G36"/>
    <mergeCell ref="B41:G41"/>
    <mergeCell ref="B46:G46"/>
    <mergeCell ref="B51:G51"/>
    <mergeCell ref="B14:G14"/>
    <mergeCell ref="B15:G15"/>
    <mergeCell ref="B20:G20"/>
    <mergeCell ref="B25:G25"/>
    <mergeCell ref="B30:G30"/>
    <mergeCell ref="A8:G8"/>
    <mergeCell ref="A9:G9"/>
    <mergeCell ref="A11:A12"/>
    <mergeCell ref="B11:B12"/>
    <mergeCell ref="C11:D11"/>
    <mergeCell ref="E11:E12"/>
    <mergeCell ref="F11:F12"/>
    <mergeCell ref="G11:G12"/>
  </mergeCells>
  <pageMargins left="0.51181102362204722" right="0.31496062992125984" top="0.55118110236220474" bottom="0.35433070866141736" header="0" footer="0"/>
  <pageSetup paperSize="9" scale="80" orientation="landscape" r:id="rId1"/>
</worksheet>
</file>

<file path=xl/worksheets/sheet15.xml><?xml version="1.0" encoding="utf-8"?>
<worksheet xmlns="http://schemas.openxmlformats.org/spreadsheetml/2006/main" xmlns:r="http://schemas.openxmlformats.org/officeDocument/2006/relationships">
  <sheetPr>
    <tabColor rgb="FF00B050"/>
  </sheetPr>
  <dimension ref="A1:N265"/>
  <sheetViews>
    <sheetView tabSelected="1" zoomScaleNormal="100" workbookViewId="0">
      <selection activeCell="E10" sqref="E10"/>
    </sheetView>
  </sheetViews>
  <sheetFormatPr defaultRowHeight="12.75"/>
  <cols>
    <col min="1" max="1" width="6.42578125" style="898" customWidth="1"/>
    <col min="2" max="2" width="37.5703125" style="899" customWidth="1"/>
    <col min="3" max="3" width="25.140625" style="900" customWidth="1"/>
    <col min="4" max="4" width="14.140625" style="923" customWidth="1"/>
    <col min="5" max="5" width="14" style="901" customWidth="1"/>
    <col min="6" max="6" width="12.28515625" style="901" customWidth="1"/>
    <col min="7" max="7" width="12.85546875" style="902" customWidth="1"/>
    <col min="8" max="8" width="14" style="902" customWidth="1"/>
    <col min="9" max="9" width="16.28515625" style="903" customWidth="1"/>
    <col min="10" max="10" width="13.7109375" style="905" customWidth="1"/>
    <col min="11" max="11" width="13.5703125" style="905" customWidth="1"/>
    <col min="12" max="12" width="14.140625" style="904" customWidth="1"/>
    <col min="13" max="13" width="16.140625" style="861" customWidth="1"/>
    <col min="14" max="16384" width="9.140625" style="861"/>
  </cols>
  <sheetData>
    <row r="1" spans="1:13" s="860" customFormat="1" ht="15" customHeight="1">
      <c r="A1" s="851"/>
      <c r="B1" s="852"/>
      <c r="C1" s="853"/>
      <c r="D1" s="916"/>
      <c r="E1" s="854"/>
      <c r="F1" s="854"/>
      <c r="G1" s="855"/>
      <c r="H1" s="855"/>
      <c r="I1" s="856"/>
      <c r="J1" s="857" t="s">
        <v>942</v>
      </c>
      <c r="K1" s="858"/>
      <c r="L1" s="859"/>
    </row>
    <row r="2" spans="1:13" s="860" customFormat="1">
      <c r="A2" s="851"/>
      <c r="B2" s="852"/>
      <c r="C2" s="853"/>
      <c r="D2" s="916"/>
      <c r="E2" s="854"/>
      <c r="F2" s="854"/>
      <c r="G2" s="855"/>
      <c r="H2" s="855"/>
      <c r="I2" s="856"/>
      <c r="J2" s="878"/>
      <c r="K2" s="858"/>
      <c r="L2" s="859"/>
    </row>
    <row r="3" spans="1:13" s="860" customFormat="1">
      <c r="A3" s="851"/>
      <c r="B3" s="852"/>
      <c r="C3" s="853"/>
      <c r="D3" s="916"/>
      <c r="E3" s="854"/>
      <c r="F3" s="854"/>
      <c r="G3" s="854"/>
      <c r="H3" s="854"/>
      <c r="I3" s="859"/>
      <c r="J3" s="858"/>
      <c r="K3" s="858"/>
      <c r="L3" s="859"/>
    </row>
    <row r="4" spans="1:13" s="860" customFormat="1">
      <c r="A4" s="1094" t="s">
        <v>964</v>
      </c>
      <c r="B4" s="1094"/>
      <c r="C4" s="1094"/>
      <c r="D4" s="1094"/>
      <c r="E4" s="1094"/>
      <c r="F4" s="1094"/>
      <c r="G4" s="1094"/>
      <c r="H4" s="1094"/>
      <c r="I4" s="1094"/>
      <c r="J4" s="1094"/>
      <c r="K4" s="1094"/>
      <c r="L4" s="1094"/>
    </row>
    <row r="5" spans="1:13" s="860" customFormat="1" ht="13.5" thickBot="1">
      <c r="A5" s="898"/>
      <c r="B5" s="899"/>
      <c r="C5" s="900"/>
      <c r="D5" s="923"/>
      <c r="E5" s="901"/>
      <c r="F5" s="901"/>
      <c r="G5" s="901"/>
      <c r="H5" s="901"/>
      <c r="I5" s="904"/>
      <c r="J5" s="904"/>
      <c r="K5" s="904"/>
      <c r="L5" s="904"/>
    </row>
    <row r="6" spans="1:13" ht="13.5" thickBot="1">
      <c r="A6" s="1095" t="s">
        <v>26</v>
      </c>
      <c r="B6" s="1096" t="s">
        <v>37</v>
      </c>
      <c r="C6" s="1097" t="s">
        <v>38</v>
      </c>
      <c r="D6" s="1098" t="s">
        <v>39</v>
      </c>
      <c r="E6" s="1099" t="s">
        <v>45</v>
      </c>
      <c r="F6" s="1100"/>
      <c r="G6" s="1100"/>
      <c r="H6" s="1101"/>
      <c r="I6" s="1099" t="s">
        <v>40</v>
      </c>
      <c r="J6" s="1100"/>
      <c r="K6" s="1100"/>
      <c r="L6" s="1101"/>
    </row>
    <row r="7" spans="1:13">
      <c r="A7" s="1095"/>
      <c r="B7" s="1096"/>
      <c r="C7" s="1097"/>
      <c r="D7" s="1098"/>
      <c r="E7" s="1102" t="s">
        <v>41</v>
      </c>
      <c r="F7" s="1104" t="s">
        <v>42</v>
      </c>
      <c r="G7" s="1097"/>
      <c r="H7" s="1105"/>
      <c r="I7" s="1106" t="s">
        <v>41</v>
      </c>
      <c r="J7" s="1108" t="s">
        <v>42</v>
      </c>
      <c r="K7" s="1109"/>
      <c r="L7" s="1110"/>
    </row>
    <row r="8" spans="1:13" ht="25.5">
      <c r="A8" s="1095"/>
      <c r="B8" s="1096"/>
      <c r="C8" s="1097"/>
      <c r="D8" s="1098"/>
      <c r="E8" s="1103"/>
      <c r="F8" s="946" t="s">
        <v>44</v>
      </c>
      <c r="G8" s="908" t="s">
        <v>947</v>
      </c>
      <c r="H8" s="947" t="s">
        <v>27</v>
      </c>
      <c r="I8" s="1107"/>
      <c r="J8" s="948" t="s">
        <v>44</v>
      </c>
      <c r="K8" s="949" t="s">
        <v>946</v>
      </c>
      <c r="L8" s="950" t="s">
        <v>27</v>
      </c>
    </row>
    <row r="9" spans="1:13">
      <c r="A9" s="906" t="s">
        <v>28</v>
      </c>
      <c r="B9" s="951">
        <v>2</v>
      </c>
      <c r="C9" s="908" t="s">
        <v>103</v>
      </c>
      <c r="D9" s="952">
        <v>4</v>
      </c>
      <c r="E9" s="953" t="s">
        <v>155</v>
      </c>
      <c r="F9" s="946">
        <v>6</v>
      </c>
      <c r="G9" s="908">
        <v>7</v>
      </c>
      <c r="H9" s="947">
        <v>8</v>
      </c>
      <c r="I9" s="954">
        <v>9</v>
      </c>
      <c r="J9" s="948">
        <v>10</v>
      </c>
      <c r="K9" s="949">
        <v>11</v>
      </c>
      <c r="L9" s="950">
        <v>12</v>
      </c>
    </row>
    <row r="10" spans="1:13" s="868" customFormat="1" ht="51.75" customHeight="1">
      <c r="A10" s="847" t="s">
        <v>17</v>
      </c>
      <c r="B10" s="850" t="s">
        <v>48</v>
      </c>
      <c r="C10" s="849"/>
      <c r="D10" s="917"/>
      <c r="E10" s="864">
        <f>SUM(F10:H10)</f>
        <v>36080.53</v>
      </c>
      <c r="F10" s="865">
        <f>F11+F15+F16+F17+F18+F19+F20+F25+F29</f>
        <v>0</v>
      </c>
      <c r="G10" s="863">
        <v>3466.58</v>
      </c>
      <c r="H10" s="866">
        <v>32613.95</v>
      </c>
      <c r="I10" s="940">
        <f>SUM(J10:L10)</f>
        <v>31587.977999999999</v>
      </c>
      <c r="J10" s="941">
        <f>J11+J15+J16+J17+J18+J19+J20+J25+J29</f>
        <v>1556.4</v>
      </c>
      <c r="K10" s="942">
        <f>K11+K15+K16+K17+K18+K19+K20+K25+K29</f>
        <v>2333.3180000000002</v>
      </c>
      <c r="L10" s="943">
        <v>27698.26</v>
      </c>
      <c r="M10" s="974"/>
    </row>
    <row r="11" spans="1:13" s="862" customFormat="1" ht="79.5" customHeight="1">
      <c r="A11" s="847" t="s">
        <v>46</v>
      </c>
      <c r="B11" s="850" t="s">
        <v>542</v>
      </c>
      <c r="C11" s="849"/>
      <c r="D11" s="917"/>
      <c r="E11" s="864">
        <f t="shared" ref="E11:E74" si="0">SUM(F11:H11)</f>
        <v>25217.34</v>
      </c>
      <c r="F11" s="865">
        <f>SUM(F12:F14)</f>
        <v>0</v>
      </c>
      <c r="G11" s="863">
        <v>0</v>
      </c>
      <c r="H11" s="866">
        <v>25217.34</v>
      </c>
      <c r="I11" s="940">
        <f>SUM(J11:L11)</f>
        <v>24328.58</v>
      </c>
      <c r="J11" s="941">
        <f>SUM(J12:J14)</f>
        <v>0</v>
      </c>
      <c r="K11" s="942">
        <f>SUM(K12:K14)</f>
        <v>0</v>
      </c>
      <c r="L11" s="943">
        <f>L12+L13+L14</f>
        <v>24328.58</v>
      </c>
    </row>
    <row r="12" spans="1:13" ht="27" customHeight="1">
      <c r="A12" s="906"/>
      <c r="B12" s="914" t="s">
        <v>616</v>
      </c>
      <c r="C12" s="908" t="s">
        <v>34</v>
      </c>
      <c r="D12" s="955" t="s">
        <v>543</v>
      </c>
      <c r="E12" s="909">
        <f t="shared" si="0"/>
        <v>13082.84</v>
      </c>
      <c r="F12" s="910"/>
      <c r="G12" s="944"/>
      <c r="H12" s="945">
        <v>13082.84</v>
      </c>
      <c r="I12" s="956">
        <f>SUM(J12:L12)</f>
        <v>10987.11</v>
      </c>
      <c r="J12" s="911"/>
      <c r="K12" s="932"/>
      <c r="L12" s="912">
        <v>10987.11</v>
      </c>
    </row>
    <row r="13" spans="1:13" ht="27" customHeight="1">
      <c r="A13" s="906"/>
      <c r="B13" s="914" t="s">
        <v>617</v>
      </c>
      <c r="C13" s="908" t="s">
        <v>34</v>
      </c>
      <c r="D13" s="955" t="s">
        <v>543</v>
      </c>
      <c r="E13" s="909">
        <f t="shared" si="0"/>
        <v>7339.81</v>
      </c>
      <c r="F13" s="910"/>
      <c r="G13" s="944"/>
      <c r="H13" s="945">
        <v>7339.81</v>
      </c>
      <c r="I13" s="956">
        <f t="shared" ref="I13:I76" si="1">SUM(J13:L13)</f>
        <v>9706.44</v>
      </c>
      <c r="J13" s="911"/>
      <c r="K13" s="932"/>
      <c r="L13" s="912">
        <v>9706.44</v>
      </c>
    </row>
    <row r="14" spans="1:13" ht="25.5">
      <c r="A14" s="906"/>
      <c r="B14" s="931" t="s">
        <v>618</v>
      </c>
      <c r="C14" s="908" t="s">
        <v>34</v>
      </c>
      <c r="D14" s="955" t="s">
        <v>543</v>
      </c>
      <c r="E14" s="909">
        <f t="shared" si="0"/>
        <v>4794.6899999999996</v>
      </c>
      <c r="F14" s="910"/>
      <c r="G14" s="944"/>
      <c r="H14" s="945">
        <v>4794.6899999999996</v>
      </c>
      <c r="I14" s="956">
        <f t="shared" si="1"/>
        <v>3635.03</v>
      </c>
      <c r="J14" s="911"/>
      <c r="K14" s="932"/>
      <c r="L14" s="912">
        <v>3635.03</v>
      </c>
    </row>
    <row r="15" spans="1:13" s="862" customFormat="1" ht="65.25" customHeight="1">
      <c r="A15" s="847" t="s">
        <v>247</v>
      </c>
      <c r="B15" s="957" t="s">
        <v>248</v>
      </c>
      <c r="C15" s="849" t="s">
        <v>51</v>
      </c>
      <c r="D15" s="958" t="s">
        <v>543</v>
      </c>
      <c r="E15" s="864">
        <f t="shared" si="0"/>
        <v>550</v>
      </c>
      <c r="F15" s="865"/>
      <c r="G15" s="863"/>
      <c r="H15" s="866">
        <v>550</v>
      </c>
      <c r="I15" s="940">
        <f t="shared" si="1"/>
        <v>6532.57</v>
      </c>
      <c r="J15" s="941">
        <v>0</v>
      </c>
      <c r="K15" s="942">
        <v>0</v>
      </c>
      <c r="L15" s="943">
        <v>6532.57</v>
      </c>
    </row>
    <row r="16" spans="1:13" s="862" customFormat="1" ht="51.75" customHeight="1">
      <c r="A16" s="847" t="s">
        <v>253</v>
      </c>
      <c r="B16" s="957" t="s">
        <v>547</v>
      </c>
      <c r="C16" s="849" t="s">
        <v>34</v>
      </c>
      <c r="D16" s="958" t="s">
        <v>544</v>
      </c>
      <c r="E16" s="864">
        <f t="shared" si="0"/>
        <v>0</v>
      </c>
      <c r="F16" s="865"/>
      <c r="G16" s="863"/>
      <c r="H16" s="866"/>
      <c r="I16" s="940">
        <f t="shared" si="1"/>
        <v>1789.85</v>
      </c>
      <c r="J16" s="941">
        <v>0</v>
      </c>
      <c r="K16" s="942">
        <v>0</v>
      </c>
      <c r="L16" s="943">
        <v>1789.85</v>
      </c>
    </row>
    <row r="17" spans="1:13" s="862" customFormat="1" ht="51">
      <c r="A17" s="847" t="s">
        <v>546</v>
      </c>
      <c r="B17" s="957" t="s">
        <v>55</v>
      </c>
      <c r="C17" s="849" t="s">
        <v>51</v>
      </c>
      <c r="D17" s="917" t="s">
        <v>543</v>
      </c>
      <c r="E17" s="864">
        <f t="shared" si="0"/>
        <v>1860</v>
      </c>
      <c r="F17" s="865"/>
      <c r="G17" s="863"/>
      <c r="H17" s="866">
        <v>1860</v>
      </c>
      <c r="I17" s="940">
        <f t="shared" si="1"/>
        <v>878.49</v>
      </c>
      <c r="J17" s="941">
        <v>0</v>
      </c>
      <c r="K17" s="942">
        <v>0</v>
      </c>
      <c r="L17" s="943">
        <v>878.49</v>
      </c>
    </row>
    <row r="18" spans="1:13" s="862" customFormat="1" ht="156.75" customHeight="1">
      <c r="A18" s="847" t="s">
        <v>256</v>
      </c>
      <c r="B18" s="957" t="s">
        <v>548</v>
      </c>
      <c r="C18" s="849" t="s">
        <v>545</v>
      </c>
      <c r="D18" s="917" t="s">
        <v>543</v>
      </c>
      <c r="E18" s="864">
        <f t="shared" si="0"/>
        <v>3901.61</v>
      </c>
      <c r="F18" s="865"/>
      <c r="G18" s="863"/>
      <c r="H18" s="866">
        <v>3901.61</v>
      </c>
      <c r="I18" s="940">
        <f>SUM(J18:L18)</f>
        <v>25.53</v>
      </c>
      <c r="J18" s="941">
        <v>0</v>
      </c>
      <c r="K18" s="942">
        <v>0</v>
      </c>
      <c r="L18" s="943">
        <v>25.53</v>
      </c>
    </row>
    <row r="19" spans="1:13" s="862" customFormat="1" ht="65.25" customHeight="1">
      <c r="A19" s="847" t="s">
        <v>261</v>
      </c>
      <c r="B19" s="959" t="s">
        <v>57</v>
      </c>
      <c r="C19" s="849" t="s">
        <v>34</v>
      </c>
      <c r="D19" s="958" t="s">
        <v>543</v>
      </c>
      <c r="E19" s="864">
        <f t="shared" si="0"/>
        <v>635</v>
      </c>
      <c r="F19" s="865"/>
      <c r="G19" s="863"/>
      <c r="H19" s="866">
        <v>635</v>
      </c>
      <c r="I19" s="940">
        <f t="shared" si="1"/>
        <v>119.56</v>
      </c>
      <c r="J19" s="941">
        <v>0</v>
      </c>
      <c r="K19" s="942">
        <v>0</v>
      </c>
      <c r="L19" s="943">
        <v>119.56</v>
      </c>
    </row>
    <row r="20" spans="1:13" s="862" customFormat="1" ht="92.25" customHeight="1">
      <c r="A20" s="847" t="s">
        <v>265</v>
      </c>
      <c r="B20" s="850" t="s">
        <v>549</v>
      </c>
      <c r="C20" s="960" t="s">
        <v>552</v>
      </c>
      <c r="D20" s="958" t="s">
        <v>550</v>
      </c>
      <c r="E20" s="864">
        <f t="shared" si="0"/>
        <v>1752</v>
      </c>
      <c r="F20" s="865">
        <f>F21+F22+F23+F24</f>
        <v>0</v>
      </c>
      <c r="G20" s="863">
        <v>1752</v>
      </c>
      <c r="H20" s="866">
        <v>0</v>
      </c>
      <c r="I20" s="940">
        <f t="shared" si="1"/>
        <v>3863.7900000000004</v>
      </c>
      <c r="J20" s="941">
        <f>J21+J22+J23+J24</f>
        <v>1551.93</v>
      </c>
      <c r="K20" s="941">
        <f t="shared" ref="K20:L20" si="2">K21+K22+K23+K24</f>
        <v>1376.88</v>
      </c>
      <c r="L20" s="941">
        <f t="shared" si="2"/>
        <v>934.98000000000013</v>
      </c>
    </row>
    <row r="21" spans="1:13" ht="93.75" customHeight="1">
      <c r="A21" s="906"/>
      <c r="B21" s="914" t="s">
        <v>678</v>
      </c>
      <c r="C21" s="961" t="s">
        <v>680</v>
      </c>
      <c r="D21" s="955" t="s">
        <v>550</v>
      </c>
      <c r="E21" s="909">
        <f t="shared" si="0"/>
        <v>0</v>
      </c>
      <c r="F21" s="910"/>
      <c r="G21" s="944"/>
      <c r="H21" s="945"/>
      <c r="I21" s="956">
        <f t="shared" si="1"/>
        <v>0</v>
      </c>
      <c r="J21" s="911"/>
      <c r="K21" s="932"/>
      <c r="L21" s="912"/>
    </row>
    <row r="22" spans="1:13" ht="99.75" customHeight="1">
      <c r="A22" s="906"/>
      <c r="B22" s="914" t="s">
        <v>679</v>
      </c>
      <c r="C22" s="962" t="s">
        <v>552</v>
      </c>
      <c r="D22" s="955" t="s">
        <v>550</v>
      </c>
      <c r="E22" s="909">
        <f t="shared" si="0"/>
        <v>0</v>
      </c>
      <c r="F22" s="910"/>
      <c r="G22" s="944"/>
      <c r="H22" s="945"/>
      <c r="I22" s="956">
        <f t="shared" si="1"/>
        <v>0</v>
      </c>
      <c r="J22" s="911"/>
      <c r="K22" s="932"/>
      <c r="L22" s="912"/>
    </row>
    <row r="23" spans="1:13" ht="119.25" customHeight="1">
      <c r="A23" s="906"/>
      <c r="B23" s="963" t="s">
        <v>681</v>
      </c>
      <c r="C23" s="961" t="s">
        <v>551</v>
      </c>
      <c r="D23" s="955" t="s">
        <v>550</v>
      </c>
      <c r="E23" s="909">
        <f t="shared" si="0"/>
        <v>0</v>
      </c>
      <c r="F23" s="910"/>
      <c r="G23" s="944"/>
      <c r="H23" s="945"/>
      <c r="I23" s="956">
        <f t="shared" si="1"/>
        <v>0</v>
      </c>
      <c r="J23" s="911"/>
      <c r="K23" s="932"/>
      <c r="L23" s="912"/>
    </row>
    <row r="24" spans="1:13" ht="25.5">
      <c r="A24" s="906"/>
      <c r="B24" s="914" t="s">
        <v>682</v>
      </c>
      <c r="C24" s="962" t="s">
        <v>62</v>
      </c>
      <c r="D24" s="955" t="s">
        <v>543</v>
      </c>
      <c r="E24" s="909">
        <f t="shared" si="0"/>
        <v>1752</v>
      </c>
      <c r="F24" s="910"/>
      <c r="G24" s="944">
        <v>1752</v>
      </c>
      <c r="H24" s="945"/>
      <c r="I24" s="956">
        <f>SUM(J24:L24)</f>
        <v>3863.7900000000004</v>
      </c>
      <c r="J24" s="911">
        <f>404.91+1147.02</f>
        <v>1551.93</v>
      </c>
      <c r="K24" s="932">
        <v>1376.88</v>
      </c>
      <c r="L24" s="912">
        <v>934.98000000000013</v>
      </c>
      <c r="M24" s="933"/>
    </row>
    <row r="25" spans="1:13" s="862" customFormat="1" ht="38.25">
      <c r="A25" s="847" t="s">
        <v>427</v>
      </c>
      <c r="B25" s="848" t="s">
        <v>430</v>
      </c>
      <c r="C25" s="960" t="s">
        <v>62</v>
      </c>
      <c r="D25" s="958" t="s">
        <v>543</v>
      </c>
      <c r="E25" s="864">
        <f t="shared" si="0"/>
        <v>1714.58</v>
      </c>
      <c r="F25" s="865">
        <f t="shared" ref="F25:I25" si="3">F26+F27+F28</f>
        <v>0</v>
      </c>
      <c r="G25" s="863">
        <v>1714.58</v>
      </c>
      <c r="H25" s="866">
        <v>0</v>
      </c>
      <c r="I25" s="940">
        <f t="shared" si="3"/>
        <v>960.90800000000002</v>
      </c>
      <c r="J25" s="941">
        <f>J26+J27+J28</f>
        <v>4.47</v>
      </c>
      <c r="K25" s="942">
        <f>K26+K27+K28</f>
        <v>956.43799999999999</v>
      </c>
      <c r="L25" s="943">
        <f t="shared" ref="L25" si="4">L26+L27+L28</f>
        <v>0</v>
      </c>
    </row>
    <row r="26" spans="1:13" ht="27" customHeight="1">
      <c r="A26" s="906"/>
      <c r="B26" s="914" t="s">
        <v>619</v>
      </c>
      <c r="C26" s="962" t="s">
        <v>62</v>
      </c>
      <c r="D26" s="955" t="s">
        <v>543</v>
      </c>
      <c r="E26" s="909">
        <f t="shared" si="0"/>
        <v>0</v>
      </c>
      <c r="F26" s="910"/>
      <c r="G26" s="944"/>
      <c r="H26" s="945"/>
      <c r="I26" s="956">
        <f t="shared" si="1"/>
        <v>4.47</v>
      </c>
      <c r="J26" s="911">
        <v>4.47</v>
      </c>
      <c r="K26" s="932"/>
      <c r="L26" s="912"/>
    </row>
    <row r="27" spans="1:13" ht="54" customHeight="1">
      <c r="A27" s="906"/>
      <c r="B27" s="914" t="s">
        <v>620</v>
      </c>
      <c r="C27" s="962" t="s">
        <v>62</v>
      </c>
      <c r="D27" s="955" t="s">
        <v>543</v>
      </c>
      <c r="E27" s="909">
        <f t="shared" si="0"/>
        <v>1714.58</v>
      </c>
      <c r="F27" s="910"/>
      <c r="G27" s="944">
        <v>1714.58</v>
      </c>
      <c r="H27" s="945"/>
      <c r="I27" s="956">
        <f t="shared" si="1"/>
        <v>956.43799999999999</v>
      </c>
      <c r="J27" s="911"/>
      <c r="K27" s="932">
        <v>956.43799999999999</v>
      </c>
      <c r="L27" s="912"/>
    </row>
    <row r="28" spans="1:13" ht="52.5" customHeight="1">
      <c r="A28" s="906"/>
      <c r="B28" s="914" t="s">
        <v>621</v>
      </c>
      <c r="C28" s="962" t="s">
        <v>62</v>
      </c>
      <c r="D28" s="955" t="s">
        <v>543</v>
      </c>
      <c r="E28" s="909">
        <f t="shared" si="0"/>
        <v>0</v>
      </c>
      <c r="F28" s="910"/>
      <c r="G28" s="944"/>
      <c r="H28" s="945"/>
      <c r="I28" s="956">
        <f t="shared" si="1"/>
        <v>0</v>
      </c>
      <c r="J28" s="911"/>
      <c r="K28" s="932"/>
      <c r="L28" s="912"/>
    </row>
    <row r="29" spans="1:13" s="867" customFormat="1" ht="91.5" customHeight="1">
      <c r="A29" s="847" t="s">
        <v>283</v>
      </c>
      <c r="B29" s="848" t="s">
        <v>432</v>
      </c>
      <c r="C29" s="849" t="s">
        <v>585</v>
      </c>
      <c r="D29" s="917" t="s">
        <v>543</v>
      </c>
      <c r="E29" s="864">
        <f t="shared" si="0"/>
        <v>450</v>
      </c>
      <c r="F29" s="865"/>
      <c r="G29" s="863"/>
      <c r="H29" s="866">
        <v>450</v>
      </c>
      <c r="I29" s="940">
        <f>SUM(J29:L29)</f>
        <v>170</v>
      </c>
      <c r="J29" s="941">
        <v>0</v>
      </c>
      <c r="K29" s="942">
        <v>0</v>
      </c>
      <c r="L29" s="943">
        <v>170</v>
      </c>
    </row>
    <row r="30" spans="1:13" s="868" customFormat="1" ht="53.25" customHeight="1">
      <c r="A30" s="847" t="s">
        <v>78</v>
      </c>
      <c r="B30" s="848" t="s">
        <v>77</v>
      </c>
      <c r="C30" s="849"/>
      <c r="D30" s="917"/>
      <c r="E30" s="864">
        <f t="shared" si="0"/>
        <v>7669.91</v>
      </c>
      <c r="F30" s="865">
        <f>F31+F32+F33+F37+F38</f>
        <v>0</v>
      </c>
      <c r="G30" s="863">
        <v>6664.46</v>
      </c>
      <c r="H30" s="866">
        <v>1005.45</v>
      </c>
      <c r="I30" s="940">
        <f t="shared" si="1"/>
        <v>18055.38</v>
      </c>
      <c r="J30" s="941">
        <f>J31+J32+J33+J37+J38</f>
        <v>128.37</v>
      </c>
      <c r="K30" s="942">
        <v>2816.1</v>
      </c>
      <c r="L30" s="943">
        <f>L31+L32+L33+L37+L38</f>
        <v>15110.910000000002</v>
      </c>
    </row>
    <row r="31" spans="1:13" s="862" customFormat="1" ht="54" customHeight="1">
      <c r="A31" s="847" t="s">
        <v>296</v>
      </c>
      <c r="B31" s="848" t="s">
        <v>433</v>
      </c>
      <c r="C31" s="849" t="s">
        <v>553</v>
      </c>
      <c r="D31" s="917" t="s">
        <v>543</v>
      </c>
      <c r="E31" s="864">
        <f t="shared" si="0"/>
        <v>6627.86</v>
      </c>
      <c r="F31" s="865"/>
      <c r="G31" s="863">
        <v>6627.86</v>
      </c>
      <c r="H31" s="866"/>
      <c r="I31" s="940">
        <f t="shared" si="1"/>
        <v>11841.31</v>
      </c>
      <c r="J31" s="941">
        <v>128.37</v>
      </c>
      <c r="K31" s="942">
        <v>2816.1</v>
      </c>
      <c r="L31" s="943">
        <v>8896.84</v>
      </c>
      <c r="M31" s="934"/>
    </row>
    <row r="32" spans="1:13" s="862" customFormat="1" ht="69" customHeight="1">
      <c r="A32" s="847" t="s">
        <v>297</v>
      </c>
      <c r="B32" s="848" t="s">
        <v>554</v>
      </c>
      <c r="C32" s="849" t="s">
        <v>62</v>
      </c>
      <c r="D32" s="917" t="s">
        <v>543</v>
      </c>
      <c r="E32" s="864">
        <f t="shared" si="0"/>
        <v>0</v>
      </c>
      <c r="F32" s="865"/>
      <c r="G32" s="863"/>
      <c r="H32" s="866"/>
      <c r="I32" s="940">
        <f t="shared" si="1"/>
        <v>0</v>
      </c>
      <c r="J32" s="941">
        <v>0</v>
      </c>
      <c r="K32" s="942">
        <v>0</v>
      </c>
      <c r="L32" s="943">
        <v>0</v>
      </c>
    </row>
    <row r="33" spans="1:14" s="862" customFormat="1" ht="63.75">
      <c r="A33" s="847" t="s">
        <v>298</v>
      </c>
      <c r="B33" s="964" t="s">
        <v>446</v>
      </c>
      <c r="C33" s="849" t="s">
        <v>555</v>
      </c>
      <c r="D33" s="958" t="s">
        <v>543</v>
      </c>
      <c r="E33" s="864">
        <f t="shared" si="0"/>
        <v>967.2</v>
      </c>
      <c r="F33" s="865">
        <f>SUM(F34:F36)</f>
        <v>0</v>
      </c>
      <c r="G33" s="863">
        <v>0</v>
      </c>
      <c r="H33" s="866">
        <v>967.2</v>
      </c>
      <c r="I33" s="940">
        <f t="shared" si="1"/>
        <v>5813.2</v>
      </c>
      <c r="J33" s="941">
        <f>SUM(J34:J36)</f>
        <v>0</v>
      </c>
      <c r="K33" s="942">
        <f>SUM(K34:K36)</f>
        <v>0</v>
      </c>
      <c r="L33" s="943">
        <f>L34+L36</f>
        <v>5813.2</v>
      </c>
    </row>
    <row r="34" spans="1:14" ht="54.75" customHeight="1">
      <c r="A34" s="906"/>
      <c r="B34" s="931" t="s">
        <v>622</v>
      </c>
      <c r="C34" s="908" t="s">
        <v>51</v>
      </c>
      <c r="D34" s="955" t="s">
        <v>543</v>
      </c>
      <c r="E34" s="909">
        <f t="shared" si="0"/>
        <v>520</v>
      </c>
      <c r="F34" s="910"/>
      <c r="G34" s="944"/>
      <c r="H34" s="945">
        <v>520</v>
      </c>
      <c r="I34" s="956">
        <f t="shared" si="1"/>
        <v>5705.2</v>
      </c>
      <c r="J34" s="911"/>
      <c r="K34" s="932"/>
      <c r="L34" s="912">
        <v>5705.2</v>
      </c>
    </row>
    <row r="35" spans="1:14" ht="56.25" customHeight="1">
      <c r="A35" s="906"/>
      <c r="B35" s="915" t="s">
        <v>623</v>
      </c>
      <c r="C35" s="961" t="s">
        <v>555</v>
      </c>
      <c r="D35" s="955" t="s">
        <v>543</v>
      </c>
      <c r="E35" s="909">
        <f t="shared" si="0"/>
        <v>171.1</v>
      </c>
      <c r="F35" s="910"/>
      <c r="G35" s="944"/>
      <c r="H35" s="945">
        <v>171.1</v>
      </c>
      <c r="I35" s="956">
        <f t="shared" si="1"/>
        <v>0</v>
      </c>
      <c r="J35" s="911"/>
      <c r="K35" s="932"/>
      <c r="L35" s="912"/>
    </row>
    <row r="36" spans="1:14" ht="30.75" customHeight="1">
      <c r="A36" s="906"/>
      <c r="B36" s="931" t="s">
        <v>624</v>
      </c>
      <c r="C36" s="961" t="s">
        <v>51</v>
      </c>
      <c r="D36" s="955" t="s">
        <v>543</v>
      </c>
      <c r="E36" s="909">
        <f t="shared" si="0"/>
        <v>276.10000000000002</v>
      </c>
      <c r="F36" s="910"/>
      <c r="G36" s="944"/>
      <c r="H36" s="945">
        <v>276.10000000000002</v>
      </c>
      <c r="I36" s="956">
        <f t="shared" si="1"/>
        <v>108</v>
      </c>
      <c r="J36" s="911"/>
      <c r="K36" s="932"/>
      <c r="L36" s="912">
        <v>108</v>
      </c>
    </row>
    <row r="37" spans="1:14" s="862" customFormat="1" ht="29.25" customHeight="1">
      <c r="A37" s="847" t="s">
        <v>299</v>
      </c>
      <c r="B37" s="850" t="s">
        <v>556</v>
      </c>
      <c r="C37" s="965" t="s">
        <v>62</v>
      </c>
      <c r="D37" s="958" t="s">
        <v>543</v>
      </c>
      <c r="E37" s="864">
        <f t="shared" si="0"/>
        <v>0</v>
      </c>
      <c r="F37" s="865"/>
      <c r="G37" s="863"/>
      <c r="H37" s="866"/>
      <c r="I37" s="940">
        <f>SUM(J37:L37)</f>
        <v>0</v>
      </c>
      <c r="J37" s="941">
        <v>0</v>
      </c>
      <c r="K37" s="942">
        <v>0</v>
      </c>
      <c r="L37" s="943">
        <v>0</v>
      </c>
    </row>
    <row r="38" spans="1:14" s="862" customFormat="1" ht="53.25" customHeight="1">
      <c r="A38" s="966" t="s">
        <v>306</v>
      </c>
      <c r="B38" s="967" t="s">
        <v>557</v>
      </c>
      <c r="C38" s="849" t="s">
        <v>555</v>
      </c>
      <c r="D38" s="958" t="s">
        <v>543</v>
      </c>
      <c r="E38" s="864">
        <f t="shared" si="0"/>
        <v>74.849999999999994</v>
      </c>
      <c r="F38" s="865">
        <f>F39+F40</f>
        <v>0</v>
      </c>
      <c r="G38" s="863">
        <v>36.6</v>
      </c>
      <c r="H38" s="866">
        <v>38.25</v>
      </c>
      <c r="I38" s="940">
        <f>SUM(J38:L38)</f>
        <v>400.87</v>
      </c>
      <c r="J38" s="941">
        <f>J39+J40</f>
        <v>0</v>
      </c>
      <c r="K38" s="942">
        <f>K39+K40</f>
        <v>0</v>
      </c>
      <c r="L38" s="943">
        <f>L39+L40</f>
        <v>400.87</v>
      </c>
    </row>
    <row r="39" spans="1:14" ht="31.5" customHeight="1">
      <c r="A39" s="906"/>
      <c r="B39" s="931" t="s">
        <v>625</v>
      </c>
      <c r="C39" s="908" t="s">
        <v>59</v>
      </c>
      <c r="D39" s="918" t="s">
        <v>543</v>
      </c>
      <c r="E39" s="909">
        <f t="shared" si="0"/>
        <v>36.6</v>
      </c>
      <c r="F39" s="910"/>
      <c r="G39" s="944">
        <v>36.6</v>
      </c>
      <c r="H39" s="945"/>
      <c r="I39" s="956">
        <f>SUM(J39:L39)</f>
        <v>158.4</v>
      </c>
      <c r="J39" s="911"/>
      <c r="K39" s="932"/>
      <c r="L39" s="912">
        <v>158.4</v>
      </c>
    </row>
    <row r="40" spans="1:14" ht="39.75" customHeight="1">
      <c r="A40" s="906"/>
      <c r="B40" s="931" t="s">
        <v>626</v>
      </c>
      <c r="C40" s="908" t="s">
        <v>558</v>
      </c>
      <c r="D40" s="918" t="s">
        <v>543</v>
      </c>
      <c r="E40" s="909">
        <f t="shared" si="0"/>
        <v>38.25</v>
      </c>
      <c r="F40" s="910"/>
      <c r="G40" s="944"/>
      <c r="H40" s="945">
        <v>38.25</v>
      </c>
      <c r="I40" s="956">
        <f>SUM(J40:L40)</f>
        <v>242.47</v>
      </c>
      <c r="J40" s="911"/>
      <c r="K40" s="932"/>
      <c r="L40" s="912">
        <v>242.47</v>
      </c>
      <c r="M40" s="933"/>
    </row>
    <row r="41" spans="1:14" s="868" customFormat="1" ht="25.5">
      <c r="A41" s="936" t="s">
        <v>559</v>
      </c>
      <c r="B41" s="937" t="s">
        <v>561</v>
      </c>
      <c r="C41" s="938"/>
      <c r="D41" s="939"/>
      <c r="E41" s="864">
        <f t="shared" si="0"/>
        <v>23371.07</v>
      </c>
      <c r="F41" s="865">
        <f>F42+F48+F49+F55+F61</f>
        <v>0</v>
      </c>
      <c r="G41" s="863">
        <v>8241.07</v>
      </c>
      <c r="H41" s="866">
        <v>15130</v>
      </c>
      <c r="I41" s="940">
        <f>SUM(J41:L41)</f>
        <v>9944.7469999999994</v>
      </c>
      <c r="J41" s="941">
        <f>J42+J48+J49+J55+J61</f>
        <v>0</v>
      </c>
      <c r="K41" s="941">
        <f t="shared" ref="K41" si="5">K42+K48+K49+K55+K61</f>
        <v>4952.857</v>
      </c>
      <c r="L41" s="941">
        <f>L42+L48+L49+L55+L61</f>
        <v>4991.8900000000003</v>
      </c>
    </row>
    <row r="42" spans="1:14" s="862" customFormat="1" ht="79.5" customHeight="1">
      <c r="A42" s="847" t="s">
        <v>562</v>
      </c>
      <c r="B42" s="850" t="s">
        <v>455</v>
      </c>
      <c r="C42" s="849" t="s">
        <v>59</v>
      </c>
      <c r="D42" s="917" t="s">
        <v>543</v>
      </c>
      <c r="E42" s="864">
        <f t="shared" si="0"/>
        <v>15627.42</v>
      </c>
      <c r="F42" s="865">
        <f>SUM(F43:F47)</f>
        <v>0</v>
      </c>
      <c r="G42" s="863">
        <v>747.42</v>
      </c>
      <c r="H42" s="866">
        <v>14880</v>
      </c>
      <c r="I42" s="940">
        <f t="shared" si="1"/>
        <v>3674.2400000000002</v>
      </c>
      <c r="J42" s="941">
        <f>SUM(J43:J47)</f>
        <v>0</v>
      </c>
      <c r="K42" s="942">
        <f>SUM(K43:K47)</f>
        <v>0</v>
      </c>
      <c r="L42" s="943">
        <f>L43+L44+L45+L46</f>
        <v>3674.2400000000002</v>
      </c>
    </row>
    <row r="43" spans="1:14" ht="42" customHeight="1">
      <c r="A43" s="906"/>
      <c r="B43" s="931" t="s">
        <v>627</v>
      </c>
      <c r="C43" s="908" t="s">
        <v>59</v>
      </c>
      <c r="D43" s="918" t="s">
        <v>543</v>
      </c>
      <c r="E43" s="909">
        <f t="shared" si="0"/>
        <v>747.42</v>
      </c>
      <c r="F43" s="910"/>
      <c r="G43" s="944">
        <v>747.42</v>
      </c>
      <c r="H43" s="945"/>
      <c r="I43" s="956">
        <f t="shared" si="1"/>
        <v>118.17</v>
      </c>
      <c r="J43" s="911"/>
      <c r="K43" s="932"/>
      <c r="L43" s="912">
        <f>114.33+3.84</f>
        <v>118.17</v>
      </c>
      <c r="M43" s="1114"/>
      <c r="N43" s="1115"/>
    </row>
    <row r="44" spans="1:14" ht="56.25" customHeight="1">
      <c r="A44" s="847"/>
      <c r="B44" s="931" t="s">
        <v>628</v>
      </c>
      <c r="C44" s="908" t="s">
        <v>59</v>
      </c>
      <c r="D44" s="918" t="s">
        <v>543</v>
      </c>
      <c r="E44" s="909">
        <f t="shared" si="0"/>
        <v>0</v>
      </c>
      <c r="F44" s="910"/>
      <c r="G44" s="944"/>
      <c r="H44" s="945"/>
      <c r="I44" s="956">
        <f t="shared" si="1"/>
        <v>0</v>
      </c>
      <c r="J44" s="911"/>
      <c r="K44" s="932"/>
      <c r="L44" s="912"/>
    </row>
    <row r="45" spans="1:14" ht="39.75" customHeight="1">
      <c r="A45" s="906"/>
      <c r="B45" s="931" t="s">
        <v>629</v>
      </c>
      <c r="C45" s="908" t="s">
        <v>59</v>
      </c>
      <c r="D45" s="918" t="s">
        <v>543</v>
      </c>
      <c r="E45" s="909">
        <f t="shared" si="0"/>
        <v>0</v>
      </c>
      <c r="F45" s="910"/>
      <c r="G45" s="944"/>
      <c r="H45" s="945"/>
      <c r="I45" s="956">
        <f t="shared" si="1"/>
        <v>0</v>
      </c>
      <c r="J45" s="911"/>
      <c r="K45" s="932"/>
      <c r="L45" s="912"/>
    </row>
    <row r="46" spans="1:14" ht="93.75" customHeight="1">
      <c r="A46" s="906"/>
      <c r="B46" s="931" t="s">
        <v>630</v>
      </c>
      <c r="C46" s="908" t="s">
        <v>560</v>
      </c>
      <c r="D46" s="918" t="s">
        <v>543</v>
      </c>
      <c r="E46" s="909">
        <f t="shared" si="0"/>
        <v>14880</v>
      </c>
      <c r="F46" s="910"/>
      <c r="G46" s="944"/>
      <c r="H46" s="945">
        <v>14880</v>
      </c>
      <c r="I46" s="956">
        <f t="shared" si="1"/>
        <v>3556.07</v>
      </c>
      <c r="J46" s="911"/>
      <c r="K46" s="932"/>
      <c r="L46" s="912">
        <v>3556.07</v>
      </c>
    </row>
    <row r="47" spans="1:14" ht="38.25">
      <c r="A47" s="906"/>
      <c r="B47" s="931" t="s">
        <v>631</v>
      </c>
      <c r="C47" s="908" t="s">
        <v>62</v>
      </c>
      <c r="D47" s="918" t="s">
        <v>543</v>
      </c>
      <c r="E47" s="909">
        <f t="shared" si="0"/>
        <v>0</v>
      </c>
      <c r="F47" s="910"/>
      <c r="G47" s="944"/>
      <c r="H47" s="945"/>
      <c r="I47" s="956">
        <f t="shared" si="1"/>
        <v>0</v>
      </c>
      <c r="J47" s="911"/>
      <c r="K47" s="932"/>
      <c r="L47" s="912"/>
    </row>
    <row r="48" spans="1:14" s="862" customFormat="1" ht="42.75" customHeight="1">
      <c r="A48" s="847" t="s">
        <v>329</v>
      </c>
      <c r="B48" s="964" t="s">
        <v>478</v>
      </c>
      <c r="C48" s="849" t="s">
        <v>62</v>
      </c>
      <c r="D48" s="958" t="s">
        <v>543</v>
      </c>
      <c r="E48" s="864">
        <f t="shared" si="0"/>
        <v>929.36</v>
      </c>
      <c r="F48" s="865"/>
      <c r="G48" s="863">
        <v>929.36</v>
      </c>
      <c r="H48" s="866"/>
      <c r="I48" s="940">
        <f t="shared" si="1"/>
        <v>81.135000000000005</v>
      </c>
      <c r="J48" s="941">
        <v>0</v>
      </c>
      <c r="K48" s="942">
        <v>81.135000000000005</v>
      </c>
      <c r="L48" s="943">
        <v>0</v>
      </c>
    </row>
    <row r="49" spans="1:14" s="862" customFormat="1" ht="78.75" customHeight="1">
      <c r="A49" s="847" t="s">
        <v>333</v>
      </c>
      <c r="B49" s="850" t="s">
        <v>563</v>
      </c>
      <c r="C49" s="849" t="s">
        <v>62</v>
      </c>
      <c r="D49" s="958" t="s">
        <v>543</v>
      </c>
      <c r="E49" s="864">
        <f t="shared" si="0"/>
        <v>1746.78</v>
      </c>
      <c r="F49" s="968">
        <f>SUM(F50:F54)</f>
        <v>0</v>
      </c>
      <c r="G49" s="969">
        <v>1746.78</v>
      </c>
      <c r="H49" s="866">
        <v>0</v>
      </c>
      <c r="I49" s="940">
        <f>SUM(J49:L49)</f>
        <v>648.65200000000004</v>
      </c>
      <c r="J49" s="941">
        <f>SUM(J50:J54)</f>
        <v>0</v>
      </c>
      <c r="K49" s="942">
        <f>K50+K51+K52+K53+K54</f>
        <v>331.46199999999999</v>
      </c>
      <c r="L49" s="943">
        <f>SUM(L50:L54)</f>
        <v>317.19</v>
      </c>
    </row>
    <row r="50" spans="1:14" ht="30.75" customHeight="1">
      <c r="A50" s="906"/>
      <c r="B50" s="915" t="s">
        <v>632</v>
      </c>
      <c r="C50" s="908" t="s">
        <v>62</v>
      </c>
      <c r="D50" s="918" t="s">
        <v>543</v>
      </c>
      <c r="E50" s="909">
        <f t="shared" si="0"/>
        <v>38.61</v>
      </c>
      <c r="F50" s="910"/>
      <c r="G50" s="944">
        <v>38.61</v>
      </c>
      <c r="H50" s="945"/>
      <c r="I50" s="956">
        <f t="shared" si="1"/>
        <v>207.49</v>
      </c>
      <c r="J50" s="911"/>
      <c r="K50" s="932">
        <v>25.63</v>
      </c>
      <c r="L50" s="912">
        <v>181.86</v>
      </c>
      <c r="M50" s="929"/>
    </row>
    <row r="51" spans="1:14" ht="27.75" customHeight="1">
      <c r="A51" s="906"/>
      <c r="B51" s="915" t="s">
        <v>633</v>
      </c>
      <c r="C51" s="908" t="s">
        <v>62</v>
      </c>
      <c r="D51" s="918" t="s">
        <v>543</v>
      </c>
      <c r="E51" s="909">
        <f t="shared" si="0"/>
        <v>19.87</v>
      </c>
      <c r="F51" s="910"/>
      <c r="G51" s="944">
        <v>19.87</v>
      </c>
      <c r="H51" s="945"/>
      <c r="I51" s="956">
        <f t="shared" si="1"/>
        <v>73.5</v>
      </c>
      <c r="J51" s="911"/>
      <c r="K51" s="932"/>
      <c r="L51" s="912">
        <v>73.5</v>
      </c>
      <c r="M51" s="929"/>
    </row>
    <row r="52" spans="1:14" ht="28.5" customHeight="1">
      <c r="A52" s="906"/>
      <c r="B52" s="915" t="s">
        <v>634</v>
      </c>
      <c r="C52" s="908" t="s">
        <v>62</v>
      </c>
      <c r="D52" s="918" t="s">
        <v>543</v>
      </c>
      <c r="E52" s="909">
        <f t="shared" si="0"/>
        <v>334.52</v>
      </c>
      <c r="F52" s="910"/>
      <c r="G52" s="944">
        <v>334.52</v>
      </c>
      <c r="H52" s="945"/>
      <c r="I52" s="956">
        <f t="shared" si="1"/>
        <v>163.18200000000002</v>
      </c>
      <c r="J52" s="911"/>
      <c r="K52" s="932">
        <v>116.88200000000001</v>
      </c>
      <c r="L52" s="912">
        <v>46.3</v>
      </c>
      <c r="M52" s="930"/>
    </row>
    <row r="53" spans="1:14" s="913" customFormat="1" ht="38.25" customHeight="1">
      <c r="A53" s="906"/>
      <c r="B53" s="915" t="s">
        <v>635</v>
      </c>
      <c r="C53" s="908" t="s">
        <v>62</v>
      </c>
      <c r="D53" s="918" t="s">
        <v>543</v>
      </c>
      <c r="E53" s="909">
        <f t="shared" si="0"/>
        <v>1108.98</v>
      </c>
      <c r="F53" s="910"/>
      <c r="G53" s="944">
        <v>1108.98</v>
      </c>
      <c r="H53" s="945"/>
      <c r="I53" s="956">
        <f t="shared" si="1"/>
        <v>0</v>
      </c>
      <c r="J53" s="911"/>
      <c r="K53" s="932"/>
      <c r="L53" s="912"/>
      <c r="M53" s="1112"/>
      <c r="N53" s="1113"/>
    </row>
    <row r="54" spans="1:14" s="913" customFormat="1" ht="40.5" customHeight="1">
      <c r="A54" s="906"/>
      <c r="B54" s="915" t="s">
        <v>636</v>
      </c>
      <c r="C54" s="908" t="s">
        <v>62</v>
      </c>
      <c r="D54" s="918" t="s">
        <v>543</v>
      </c>
      <c r="E54" s="909">
        <f t="shared" si="0"/>
        <v>244.8</v>
      </c>
      <c r="F54" s="910"/>
      <c r="G54" s="944">
        <v>244.8</v>
      </c>
      <c r="H54" s="945"/>
      <c r="I54" s="956">
        <f t="shared" si="1"/>
        <v>204.48</v>
      </c>
      <c r="J54" s="911"/>
      <c r="K54" s="932">
        <v>188.95</v>
      </c>
      <c r="L54" s="912">
        <v>15.53</v>
      </c>
    </row>
    <row r="55" spans="1:14" s="862" customFormat="1" ht="38.25">
      <c r="A55" s="847" t="s">
        <v>339</v>
      </c>
      <c r="B55" s="850" t="s">
        <v>604</v>
      </c>
      <c r="C55" s="849" t="s">
        <v>62</v>
      </c>
      <c r="D55" s="917" t="s">
        <v>543</v>
      </c>
      <c r="E55" s="864">
        <f t="shared" si="0"/>
        <v>4817.51</v>
      </c>
      <c r="F55" s="865">
        <f>SUM(F56:F60)</f>
        <v>0</v>
      </c>
      <c r="G55" s="863">
        <v>4817.51</v>
      </c>
      <c r="H55" s="866">
        <v>0</v>
      </c>
      <c r="I55" s="940">
        <f t="shared" si="1"/>
        <v>5540.72</v>
      </c>
      <c r="J55" s="941">
        <f>SUM(J56:J60)</f>
        <v>0</v>
      </c>
      <c r="K55" s="942">
        <f>K56+K57+K58+K59+K60</f>
        <v>4540.26</v>
      </c>
      <c r="L55" s="943">
        <f>L56+L57+L58+L59+L60</f>
        <v>1000.46</v>
      </c>
    </row>
    <row r="56" spans="1:14" ht="25.5">
      <c r="A56" s="906"/>
      <c r="B56" s="931" t="s">
        <v>637</v>
      </c>
      <c r="C56" s="908" t="s">
        <v>62</v>
      </c>
      <c r="D56" s="918" t="s">
        <v>543</v>
      </c>
      <c r="E56" s="909">
        <f t="shared" si="0"/>
        <v>270</v>
      </c>
      <c r="F56" s="910"/>
      <c r="G56" s="944">
        <v>270</v>
      </c>
      <c r="H56" s="945"/>
      <c r="I56" s="956">
        <f t="shared" si="1"/>
        <v>721.47</v>
      </c>
      <c r="J56" s="911"/>
      <c r="K56" s="932">
        <v>250</v>
      </c>
      <c r="L56" s="912">
        <v>471.47</v>
      </c>
    </row>
    <row r="57" spans="1:14" ht="25.5">
      <c r="A57" s="906"/>
      <c r="B57" s="931" t="s">
        <v>638</v>
      </c>
      <c r="C57" s="908" t="s">
        <v>62</v>
      </c>
      <c r="D57" s="918" t="s">
        <v>543</v>
      </c>
      <c r="E57" s="909">
        <f t="shared" si="0"/>
        <v>486</v>
      </c>
      <c r="F57" s="910"/>
      <c r="G57" s="944">
        <v>486</v>
      </c>
      <c r="H57" s="945"/>
      <c r="I57" s="956">
        <f t="shared" si="1"/>
        <v>450</v>
      </c>
      <c r="J57" s="911"/>
      <c r="K57" s="932">
        <v>450</v>
      </c>
      <c r="L57" s="912"/>
    </row>
    <row r="58" spans="1:14" ht="25.5">
      <c r="A58" s="906"/>
      <c r="B58" s="931" t="s">
        <v>639</v>
      </c>
      <c r="C58" s="908" t="s">
        <v>62</v>
      </c>
      <c r="D58" s="918" t="s">
        <v>543</v>
      </c>
      <c r="E58" s="909">
        <f t="shared" si="0"/>
        <v>44.55</v>
      </c>
      <c r="F58" s="910"/>
      <c r="G58" s="944">
        <v>44.55</v>
      </c>
      <c r="H58" s="945"/>
      <c r="I58" s="956">
        <f t="shared" si="1"/>
        <v>20</v>
      </c>
      <c r="J58" s="911"/>
      <c r="K58" s="932">
        <v>20</v>
      </c>
      <c r="L58" s="912"/>
    </row>
    <row r="59" spans="1:14" ht="25.5">
      <c r="A59" s="906"/>
      <c r="B59" s="931" t="s">
        <v>640</v>
      </c>
      <c r="C59" s="908" t="s">
        <v>62</v>
      </c>
      <c r="D59" s="918" t="s">
        <v>543</v>
      </c>
      <c r="E59" s="909">
        <f t="shared" si="0"/>
        <v>52.8</v>
      </c>
      <c r="F59" s="910"/>
      <c r="G59" s="944">
        <v>52.8</v>
      </c>
      <c r="H59" s="945"/>
      <c r="I59" s="956">
        <f t="shared" si="1"/>
        <v>36</v>
      </c>
      <c r="J59" s="911"/>
      <c r="K59" s="932">
        <v>36</v>
      </c>
      <c r="L59" s="912"/>
    </row>
    <row r="60" spans="1:14" ht="25.5">
      <c r="A60" s="906"/>
      <c r="B60" s="931" t="s">
        <v>641</v>
      </c>
      <c r="C60" s="908" t="s">
        <v>62</v>
      </c>
      <c r="D60" s="918" t="s">
        <v>543</v>
      </c>
      <c r="E60" s="909">
        <f t="shared" si="0"/>
        <v>3964.16</v>
      </c>
      <c r="F60" s="910"/>
      <c r="G60" s="944">
        <v>3964.16</v>
      </c>
      <c r="H60" s="945"/>
      <c r="I60" s="956">
        <f t="shared" si="1"/>
        <v>4313.25</v>
      </c>
      <c r="J60" s="911"/>
      <c r="K60" s="932">
        <v>3784.26</v>
      </c>
      <c r="L60" s="912">
        <v>528.99</v>
      </c>
    </row>
    <row r="61" spans="1:14" s="862" customFormat="1" ht="81" customHeight="1">
      <c r="A61" s="847" t="s">
        <v>343</v>
      </c>
      <c r="B61" s="850" t="s">
        <v>495</v>
      </c>
      <c r="C61" s="849" t="s">
        <v>62</v>
      </c>
      <c r="D61" s="917" t="s">
        <v>543</v>
      </c>
      <c r="E61" s="864">
        <f t="shared" si="0"/>
        <v>250</v>
      </c>
      <c r="F61" s="865"/>
      <c r="G61" s="863"/>
      <c r="H61" s="866">
        <v>250</v>
      </c>
      <c r="I61" s="940">
        <f t="shared" si="1"/>
        <v>0</v>
      </c>
      <c r="J61" s="941">
        <v>0</v>
      </c>
      <c r="K61" s="942">
        <v>0</v>
      </c>
      <c r="L61" s="943">
        <v>0</v>
      </c>
    </row>
    <row r="62" spans="1:14" s="868" customFormat="1" ht="25.5">
      <c r="A62" s="847" t="s">
        <v>132</v>
      </c>
      <c r="B62" s="850" t="s">
        <v>131</v>
      </c>
      <c r="C62" s="849"/>
      <c r="D62" s="917"/>
      <c r="E62" s="864">
        <f t="shared" si="0"/>
        <v>152935</v>
      </c>
      <c r="F62" s="865">
        <f>SUM(F63+F67+F70+F71)</f>
        <v>0</v>
      </c>
      <c r="G62" s="863">
        <v>0</v>
      </c>
      <c r="H62" s="866">
        <v>152935</v>
      </c>
      <c r="I62" s="940">
        <f>SUM(J62:L62)</f>
        <v>60329.5</v>
      </c>
      <c r="J62" s="941">
        <f>SUM(J63+J67+J70+J71)</f>
        <v>35779.65</v>
      </c>
      <c r="K62" s="941">
        <f t="shared" ref="K62" si="6">SUM(K63+K67+K70+K71)</f>
        <v>0</v>
      </c>
      <c r="L62" s="941">
        <f>SUM(L63+L67+L70+L71)</f>
        <v>24549.850000000002</v>
      </c>
    </row>
    <row r="63" spans="1:14" s="868" customFormat="1" ht="30.75" customHeight="1">
      <c r="A63" s="847" t="s">
        <v>570</v>
      </c>
      <c r="B63" s="850" t="s">
        <v>571</v>
      </c>
      <c r="C63" s="849" t="s">
        <v>62</v>
      </c>
      <c r="D63" s="917" t="s">
        <v>543</v>
      </c>
      <c r="E63" s="864">
        <f t="shared" si="0"/>
        <v>144144</v>
      </c>
      <c r="F63" s="865">
        <f>SUM(F64:F66)</f>
        <v>0</v>
      </c>
      <c r="G63" s="863">
        <v>0</v>
      </c>
      <c r="H63" s="866">
        <v>144144</v>
      </c>
      <c r="I63" s="940">
        <f>SUM(J63:L63)</f>
        <v>52762.710000000006</v>
      </c>
      <c r="J63" s="941">
        <f>J64+J65+J66</f>
        <v>35779.65</v>
      </c>
      <c r="K63" s="942">
        <f>SUM(K64:K66)</f>
        <v>0</v>
      </c>
      <c r="L63" s="943">
        <f>L64+L65+L66</f>
        <v>16983.060000000001</v>
      </c>
    </row>
    <row r="64" spans="1:14" ht="54.75" customHeight="1">
      <c r="A64" s="906"/>
      <c r="B64" s="931" t="s">
        <v>642</v>
      </c>
      <c r="C64" s="908" t="s">
        <v>62</v>
      </c>
      <c r="D64" s="918" t="s">
        <v>543</v>
      </c>
      <c r="E64" s="909">
        <f t="shared" si="0"/>
        <v>144144</v>
      </c>
      <c r="F64" s="910"/>
      <c r="G64" s="944"/>
      <c r="H64" s="945">
        <v>144144</v>
      </c>
      <c r="I64" s="956">
        <f t="shared" si="1"/>
        <v>52762.710000000006</v>
      </c>
      <c r="J64" s="911">
        <v>35779.65</v>
      </c>
      <c r="K64" s="932"/>
      <c r="L64" s="912">
        <v>16983.060000000001</v>
      </c>
      <c r="M64" s="933"/>
    </row>
    <row r="65" spans="1:14" ht="42.75" customHeight="1">
      <c r="A65" s="906"/>
      <c r="B65" s="931" t="s">
        <v>643</v>
      </c>
      <c r="C65" s="908" t="s">
        <v>62</v>
      </c>
      <c r="D65" s="918" t="s">
        <v>543</v>
      </c>
      <c r="E65" s="909">
        <f t="shared" si="0"/>
        <v>0</v>
      </c>
      <c r="F65" s="910"/>
      <c r="G65" s="944"/>
      <c r="H65" s="945"/>
      <c r="I65" s="956">
        <f t="shared" si="1"/>
        <v>0</v>
      </c>
      <c r="J65" s="911"/>
      <c r="K65" s="932"/>
      <c r="L65" s="912"/>
      <c r="M65" s="933"/>
    </row>
    <row r="66" spans="1:14" ht="44.25" customHeight="1">
      <c r="A66" s="906"/>
      <c r="B66" s="931" t="s">
        <v>644</v>
      </c>
      <c r="C66" s="908" t="s">
        <v>62</v>
      </c>
      <c r="D66" s="918" t="s">
        <v>543</v>
      </c>
      <c r="E66" s="909">
        <f t="shared" si="0"/>
        <v>0</v>
      </c>
      <c r="F66" s="910"/>
      <c r="G66" s="944"/>
      <c r="H66" s="945"/>
      <c r="I66" s="956">
        <f t="shared" si="1"/>
        <v>0</v>
      </c>
      <c r="J66" s="911"/>
      <c r="K66" s="932"/>
      <c r="L66" s="912"/>
    </row>
    <row r="67" spans="1:14" s="862" customFormat="1" ht="38.25">
      <c r="A67" s="847" t="s">
        <v>586</v>
      </c>
      <c r="B67" s="850" t="s">
        <v>587</v>
      </c>
      <c r="C67" s="849" t="s">
        <v>62</v>
      </c>
      <c r="D67" s="917" t="s">
        <v>550</v>
      </c>
      <c r="E67" s="864">
        <f t="shared" si="0"/>
        <v>0</v>
      </c>
      <c r="F67" s="865">
        <f>SUM(F68:F69)</f>
        <v>0</v>
      </c>
      <c r="G67" s="863">
        <v>0</v>
      </c>
      <c r="H67" s="866">
        <v>0</v>
      </c>
      <c r="I67" s="940">
        <f t="shared" si="1"/>
        <v>0</v>
      </c>
      <c r="J67" s="941">
        <f>J68+J69</f>
        <v>0</v>
      </c>
      <c r="K67" s="942">
        <f>SUM(K68:K69)</f>
        <v>0</v>
      </c>
      <c r="L67" s="943">
        <f>SUM(L68:L69)</f>
        <v>0</v>
      </c>
    </row>
    <row r="68" spans="1:14" ht="25.5">
      <c r="A68" s="906"/>
      <c r="B68" s="931" t="s">
        <v>645</v>
      </c>
      <c r="C68" s="908" t="s">
        <v>62</v>
      </c>
      <c r="D68" s="918" t="s">
        <v>550</v>
      </c>
      <c r="E68" s="909">
        <f t="shared" si="0"/>
        <v>0</v>
      </c>
      <c r="F68" s="910"/>
      <c r="G68" s="944"/>
      <c r="H68" s="945"/>
      <c r="I68" s="956">
        <f t="shared" si="1"/>
        <v>0</v>
      </c>
      <c r="J68" s="911"/>
      <c r="K68" s="932"/>
      <c r="L68" s="912"/>
    </row>
    <row r="69" spans="1:14" ht="39" customHeight="1">
      <c r="A69" s="906"/>
      <c r="B69" s="931" t="s">
        <v>646</v>
      </c>
      <c r="C69" s="908" t="s">
        <v>62</v>
      </c>
      <c r="D69" s="918" t="s">
        <v>550</v>
      </c>
      <c r="E69" s="909">
        <f t="shared" si="0"/>
        <v>0</v>
      </c>
      <c r="F69" s="910"/>
      <c r="G69" s="944"/>
      <c r="H69" s="945"/>
      <c r="I69" s="956">
        <f t="shared" si="1"/>
        <v>0</v>
      </c>
      <c r="J69" s="911"/>
      <c r="K69" s="932"/>
      <c r="L69" s="912"/>
    </row>
    <row r="70" spans="1:14" s="862" customFormat="1" ht="93.75" customHeight="1">
      <c r="A70" s="847" t="s">
        <v>367</v>
      </c>
      <c r="B70" s="850" t="s">
        <v>572</v>
      </c>
      <c r="C70" s="849" t="s">
        <v>62</v>
      </c>
      <c r="D70" s="917" t="s">
        <v>543</v>
      </c>
      <c r="E70" s="864">
        <f t="shared" si="0"/>
        <v>450</v>
      </c>
      <c r="F70" s="865"/>
      <c r="G70" s="863"/>
      <c r="H70" s="866">
        <v>450</v>
      </c>
      <c r="I70" s="940">
        <f t="shared" si="1"/>
        <v>0</v>
      </c>
      <c r="J70" s="941">
        <v>0</v>
      </c>
      <c r="K70" s="942">
        <v>0</v>
      </c>
      <c r="L70" s="943">
        <v>0</v>
      </c>
    </row>
    <row r="71" spans="1:14" s="862" customFormat="1" ht="81.75" customHeight="1">
      <c r="A71" s="847" t="s">
        <v>514</v>
      </c>
      <c r="B71" s="850" t="s">
        <v>573</v>
      </c>
      <c r="C71" s="849" t="s">
        <v>599</v>
      </c>
      <c r="D71" s="917" t="s">
        <v>543</v>
      </c>
      <c r="E71" s="864">
        <f t="shared" si="0"/>
        <v>8341</v>
      </c>
      <c r="F71" s="865"/>
      <c r="G71" s="863"/>
      <c r="H71" s="866">
        <v>8341</v>
      </c>
      <c r="I71" s="940">
        <f t="shared" si="1"/>
        <v>7566.79</v>
      </c>
      <c r="J71" s="941">
        <v>0</v>
      </c>
      <c r="K71" s="942">
        <v>0</v>
      </c>
      <c r="L71" s="943">
        <v>7566.79</v>
      </c>
    </row>
    <row r="72" spans="1:14" s="868" customFormat="1" ht="51">
      <c r="A72" s="847" t="s">
        <v>379</v>
      </c>
      <c r="B72" s="850" t="s">
        <v>574</v>
      </c>
      <c r="C72" s="849"/>
      <c r="D72" s="917"/>
      <c r="E72" s="864">
        <f t="shared" si="0"/>
        <v>28581.610000000004</v>
      </c>
      <c r="F72" s="865">
        <f>F73+F79+F80</f>
        <v>0</v>
      </c>
      <c r="G72" s="863">
        <v>28293.610000000004</v>
      </c>
      <c r="H72" s="866">
        <v>288</v>
      </c>
      <c r="I72" s="940">
        <f t="shared" si="1"/>
        <v>4813.192</v>
      </c>
      <c r="J72" s="941">
        <f>J73+J79+J80</f>
        <v>0</v>
      </c>
      <c r="K72" s="942">
        <f>K73+K79+K80</f>
        <v>2123.2919999999999</v>
      </c>
      <c r="L72" s="943">
        <f>L73+L79+L80</f>
        <v>2689.9</v>
      </c>
    </row>
    <row r="73" spans="1:14" s="862" customFormat="1" ht="40.5" customHeight="1">
      <c r="A73" s="847" t="s">
        <v>380</v>
      </c>
      <c r="B73" s="848" t="s">
        <v>598</v>
      </c>
      <c r="C73" s="849" t="s">
        <v>62</v>
      </c>
      <c r="D73" s="917" t="s">
        <v>543</v>
      </c>
      <c r="E73" s="864">
        <f t="shared" si="0"/>
        <v>28293.610000000004</v>
      </c>
      <c r="F73" s="865">
        <f>SUM(F74:F78)</f>
        <v>0</v>
      </c>
      <c r="G73" s="863">
        <v>28293.610000000004</v>
      </c>
      <c r="H73" s="866">
        <v>0</v>
      </c>
      <c r="I73" s="940">
        <f t="shared" si="1"/>
        <v>4813.192</v>
      </c>
      <c r="J73" s="941">
        <f>SUM(J74:J78)</f>
        <v>0</v>
      </c>
      <c r="K73" s="942">
        <f>K74+K75+K76+K77+K78</f>
        <v>2123.2919999999999</v>
      </c>
      <c r="L73" s="943">
        <f>L74+L75+L76+L77+L78</f>
        <v>2689.9</v>
      </c>
    </row>
    <row r="74" spans="1:14" s="913" customFormat="1" ht="42" customHeight="1">
      <c r="A74" s="906"/>
      <c r="B74" s="907" t="s">
        <v>647</v>
      </c>
      <c r="C74" s="908" t="s">
        <v>62</v>
      </c>
      <c r="D74" s="918" t="s">
        <v>543</v>
      </c>
      <c r="E74" s="909">
        <f t="shared" si="0"/>
        <v>14242.57</v>
      </c>
      <c r="F74" s="910"/>
      <c r="G74" s="944">
        <v>14242.57</v>
      </c>
      <c r="H74" s="945"/>
      <c r="I74" s="956">
        <f t="shared" si="1"/>
        <v>1681.32</v>
      </c>
      <c r="J74" s="911"/>
      <c r="K74" s="932">
        <v>0</v>
      </c>
      <c r="L74" s="912">
        <v>1681.32</v>
      </c>
      <c r="M74" s="1116"/>
      <c r="N74" s="1117"/>
    </row>
    <row r="75" spans="1:14" ht="40.5" customHeight="1">
      <c r="A75" s="906"/>
      <c r="B75" s="907" t="s">
        <v>648</v>
      </c>
      <c r="C75" s="908" t="s">
        <v>62</v>
      </c>
      <c r="D75" s="918" t="s">
        <v>543</v>
      </c>
      <c r="E75" s="909">
        <f t="shared" ref="E75:E80" si="7">SUM(F75:H75)</f>
        <v>11081.87</v>
      </c>
      <c r="F75" s="910"/>
      <c r="G75" s="944">
        <v>11081.87</v>
      </c>
      <c r="H75" s="945"/>
      <c r="I75" s="956">
        <f t="shared" si="1"/>
        <v>583.66</v>
      </c>
      <c r="J75" s="911"/>
      <c r="K75" s="932"/>
      <c r="L75" s="912">
        <v>583.66</v>
      </c>
      <c r="M75" s="1118"/>
      <c r="N75" s="1119"/>
    </row>
    <row r="76" spans="1:14" s="913" customFormat="1" ht="25.5">
      <c r="A76" s="906"/>
      <c r="B76" s="907" t="s">
        <v>943</v>
      </c>
      <c r="C76" s="908" t="s">
        <v>62</v>
      </c>
      <c r="D76" s="918" t="s">
        <v>543</v>
      </c>
      <c r="E76" s="909">
        <f t="shared" si="7"/>
        <v>662.49</v>
      </c>
      <c r="F76" s="910"/>
      <c r="G76" s="944">
        <v>662.49</v>
      </c>
      <c r="H76" s="945"/>
      <c r="I76" s="956">
        <f t="shared" si="1"/>
        <v>310.31</v>
      </c>
      <c r="J76" s="911"/>
      <c r="K76" s="932">
        <v>292.56</v>
      </c>
      <c r="L76" s="912">
        <v>17.75</v>
      </c>
      <c r="M76" s="935"/>
    </row>
    <row r="77" spans="1:14" s="913" customFormat="1" ht="25.5">
      <c r="A77" s="906"/>
      <c r="B77" s="914" t="s">
        <v>650</v>
      </c>
      <c r="C77" s="908" t="s">
        <v>62</v>
      </c>
      <c r="D77" s="918" t="s">
        <v>543</v>
      </c>
      <c r="E77" s="909">
        <f t="shared" si="7"/>
        <v>1565.69</v>
      </c>
      <c r="F77" s="910"/>
      <c r="G77" s="944">
        <v>1565.69</v>
      </c>
      <c r="H77" s="945"/>
      <c r="I77" s="956">
        <f t="shared" ref="I77:I80" si="8">SUM(J77:L77)</f>
        <v>1199.26</v>
      </c>
      <c r="J77" s="911"/>
      <c r="K77" s="932">
        <v>1112.47</v>
      </c>
      <c r="L77" s="912">
        <v>86.79</v>
      </c>
    </row>
    <row r="78" spans="1:14" ht="41.25" customHeight="1">
      <c r="A78" s="906"/>
      <c r="B78" s="914" t="s">
        <v>651</v>
      </c>
      <c r="C78" s="908" t="s">
        <v>62</v>
      </c>
      <c r="D78" s="918" t="s">
        <v>543</v>
      </c>
      <c r="E78" s="909">
        <f t="shared" si="7"/>
        <v>740.99</v>
      </c>
      <c r="F78" s="910"/>
      <c r="G78" s="944">
        <v>740.99</v>
      </c>
      <c r="H78" s="945"/>
      <c r="I78" s="956">
        <f t="shared" si="8"/>
        <v>1038.6419999999998</v>
      </c>
      <c r="J78" s="911"/>
      <c r="K78" s="932">
        <v>718.26199999999994</v>
      </c>
      <c r="L78" s="912">
        <v>320.38</v>
      </c>
    </row>
    <row r="79" spans="1:14" s="972" customFormat="1" ht="66.75" customHeight="1">
      <c r="A79" s="847" t="s">
        <v>576</v>
      </c>
      <c r="B79" s="848" t="s">
        <v>577</v>
      </c>
      <c r="C79" s="849" t="s">
        <v>575</v>
      </c>
      <c r="D79" s="917" t="s">
        <v>543</v>
      </c>
      <c r="E79" s="864">
        <f t="shared" si="7"/>
        <v>0</v>
      </c>
      <c r="F79" s="865"/>
      <c r="G79" s="863"/>
      <c r="H79" s="866"/>
      <c r="I79" s="940">
        <f t="shared" si="8"/>
        <v>0</v>
      </c>
      <c r="J79" s="941"/>
      <c r="K79" s="942"/>
      <c r="L79" s="912"/>
      <c r="M79" s="971"/>
    </row>
    <row r="80" spans="1:14" s="862" customFormat="1" ht="84.75" customHeight="1">
      <c r="A80" s="847" t="s">
        <v>384</v>
      </c>
      <c r="B80" s="850" t="s">
        <v>578</v>
      </c>
      <c r="C80" s="849" t="s">
        <v>62</v>
      </c>
      <c r="D80" s="917" t="s">
        <v>543</v>
      </c>
      <c r="E80" s="864">
        <f t="shared" si="7"/>
        <v>288</v>
      </c>
      <c r="F80" s="865"/>
      <c r="G80" s="863"/>
      <c r="H80" s="866">
        <v>288</v>
      </c>
      <c r="I80" s="940">
        <f t="shared" si="8"/>
        <v>0</v>
      </c>
      <c r="J80" s="941"/>
      <c r="K80" s="942"/>
      <c r="L80" s="943"/>
    </row>
    <row r="81" spans="1:12" ht="13.5" thickBot="1">
      <c r="A81" s="1120" t="s">
        <v>7</v>
      </c>
      <c r="B81" s="1120"/>
      <c r="C81" s="1120"/>
      <c r="D81" s="1121"/>
      <c r="E81" s="869">
        <f>E10+E30+E41+E62+E72</f>
        <v>248638.12000000002</v>
      </c>
      <c r="F81" s="870">
        <f t="shared" ref="F81:I81" si="9">F10+F30+F41+F62+F72</f>
        <v>0</v>
      </c>
      <c r="G81" s="871">
        <f t="shared" si="9"/>
        <v>46665.72</v>
      </c>
      <c r="H81" s="872">
        <f t="shared" si="9"/>
        <v>201972.4</v>
      </c>
      <c r="I81" s="873">
        <f t="shared" si="9"/>
        <v>124730.79699999999</v>
      </c>
      <c r="J81" s="970">
        <f>J10+J30+J41+J62+J72</f>
        <v>37464.42</v>
      </c>
      <c r="K81" s="970">
        <f t="shared" ref="K81" si="10">K10+K30+K41+K62+K72</f>
        <v>12225.566999999999</v>
      </c>
      <c r="L81" s="970">
        <f>L10+L30+L41+L62+L72</f>
        <v>75040.81</v>
      </c>
    </row>
    <row r="82" spans="1:12" s="860" customFormat="1">
      <c r="A82" s="852"/>
      <c r="B82" s="852"/>
      <c r="C82" s="853"/>
      <c r="D82" s="916"/>
      <c r="E82" s="854"/>
      <c r="F82" s="854"/>
      <c r="G82" s="854"/>
      <c r="H82" s="854"/>
      <c r="I82" s="859"/>
      <c r="J82" s="858"/>
      <c r="K82" s="858"/>
      <c r="L82" s="859"/>
    </row>
    <row r="83" spans="1:12" s="860" customFormat="1">
      <c r="A83" s="874"/>
      <c r="B83" s="875" t="s">
        <v>945</v>
      </c>
      <c r="C83" s="876"/>
      <c r="D83" s="919"/>
      <c r="E83" s="877"/>
      <c r="F83" s="877"/>
      <c r="G83" s="877"/>
      <c r="H83" s="853"/>
      <c r="I83" s="857"/>
      <c r="J83" s="878"/>
      <c r="K83" s="878"/>
      <c r="L83" s="857"/>
    </row>
    <row r="84" spans="1:12" s="860" customFormat="1">
      <c r="A84" s="874"/>
      <c r="B84" s="875" t="s">
        <v>948</v>
      </c>
      <c r="C84" s="876"/>
      <c r="D84" s="919"/>
      <c r="E84" s="877"/>
      <c r="F84" s="877"/>
      <c r="G84" s="877"/>
      <c r="H84" s="853"/>
      <c r="I84" s="857"/>
      <c r="J84" s="878"/>
      <c r="K84" s="878"/>
      <c r="L84" s="857"/>
    </row>
    <row r="85" spans="1:12" s="860" customFormat="1">
      <c r="A85" s="874"/>
      <c r="B85" s="875"/>
      <c r="C85" s="876"/>
      <c r="D85" s="919"/>
      <c r="E85" s="877"/>
      <c r="F85" s="877"/>
      <c r="G85" s="877"/>
      <c r="H85" s="853"/>
      <c r="I85" s="857"/>
      <c r="J85" s="878"/>
      <c r="K85" s="878"/>
      <c r="L85" s="857"/>
    </row>
    <row r="86" spans="1:12" s="860" customFormat="1">
      <c r="A86" s="852"/>
      <c r="B86" s="852"/>
      <c r="C86" s="853"/>
      <c r="D86" s="916"/>
      <c r="E86" s="854"/>
      <c r="F86" s="854"/>
      <c r="G86" s="854"/>
      <c r="H86" s="854"/>
      <c r="I86" s="859"/>
      <c r="J86" s="858"/>
      <c r="K86" s="858"/>
      <c r="L86" s="879"/>
    </row>
    <row r="87" spans="1:12" s="860" customFormat="1">
      <c r="A87" s="880" t="s">
        <v>8</v>
      </c>
      <c r="B87" s="881"/>
      <c r="C87" s="882"/>
      <c r="D87" s="920"/>
      <c r="E87" s="883"/>
      <c r="F87" s="883"/>
      <c r="G87" s="884"/>
      <c r="H87" s="884"/>
      <c r="I87" s="885"/>
      <c r="J87" s="926"/>
      <c r="K87" s="858"/>
      <c r="L87" s="879"/>
    </row>
    <row r="88" spans="1:12" s="860" customFormat="1">
      <c r="A88" s="886"/>
      <c r="B88" s="887"/>
      <c r="C88" s="877"/>
      <c r="D88" s="921"/>
      <c r="E88" s="883"/>
      <c r="F88" s="883"/>
      <c r="G88" s="884"/>
      <c r="H88" s="884"/>
      <c r="I88" s="857"/>
      <c r="J88" s="878" t="s">
        <v>9</v>
      </c>
      <c r="K88" s="858"/>
      <c r="L88" s="879"/>
    </row>
    <row r="89" spans="1:12" s="860" customFormat="1">
      <c r="A89" s="886"/>
      <c r="B89" s="1122" t="s">
        <v>10</v>
      </c>
      <c r="C89" s="1123"/>
      <c r="D89" s="1124"/>
      <c r="E89" s="1125" t="s">
        <v>11</v>
      </c>
      <c r="F89" s="1126"/>
      <c r="G89" s="1127"/>
      <c r="H89" s="1125" t="s">
        <v>12</v>
      </c>
      <c r="I89" s="1126"/>
      <c r="J89" s="1127"/>
      <c r="K89" s="858"/>
      <c r="L89" s="859"/>
    </row>
    <row r="90" spans="1:12" s="860" customFormat="1" ht="25.5">
      <c r="A90" s="886"/>
      <c r="B90" s="888" t="s">
        <v>13</v>
      </c>
      <c r="C90" s="846" t="s">
        <v>14</v>
      </c>
      <c r="D90" s="922" t="s">
        <v>15</v>
      </c>
      <c r="E90" s="889" t="s">
        <v>13</v>
      </c>
      <c r="F90" s="889" t="s">
        <v>14</v>
      </c>
      <c r="G90" s="889" t="s">
        <v>15</v>
      </c>
      <c r="H90" s="889" t="s">
        <v>13</v>
      </c>
      <c r="I90" s="890" t="s">
        <v>14</v>
      </c>
      <c r="J90" s="927" t="s">
        <v>15</v>
      </c>
      <c r="K90" s="858"/>
      <c r="L90" s="859"/>
    </row>
    <row r="91" spans="1:12" s="895" customFormat="1">
      <c r="A91" s="891"/>
      <c r="B91" s="925">
        <f>C91+D91</f>
        <v>248638.12</v>
      </c>
      <c r="C91" s="924">
        <f>G81</f>
        <v>46665.72</v>
      </c>
      <c r="D91" s="924">
        <f>F81+H81</f>
        <v>201972.4</v>
      </c>
      <c r="E91" s="892">
        <f>SUM(F91:G91)</f>
        <v>124730.79699999999</v>
      </c>
      <c r="F91" s="892">
        <f>K81</f>
        <v>12225.566999999999</v>
      </c>
      <c r="G91" s="892">
        <f>J81+L81</f>
        <v>112505.23</v>
      </c>
      <c r="H91" s="973">
        <f>E91-B91</f>
        <v>-123907.323</v>
      </c>
      <c r="I91" s="928">
        <f>F91-C91</f>
        <v>-34440.153000000006</v>
      </c>
      <c r="J91" s="928">
        <f>G91-D91</f>
        <v>-89467.17</v>
      </c>
      <c r="K91" s="893"/>
      <c r="L91" s="894"/>
    </row>
    <row r="92" spans="1:12" s="860" customFormat="1">
      <c r="A92" s="852"/>
      <c r="B92" s="852"/>
      <c r="C92" s="853"/>
      <c r="D92" s="916"/>
      <c r="E92" s="854"/>
      <c r="F92" s="854"/>
      <c r="G92" s="854"/>
      <c r="H92" s="854"/>
      <c r="I92" s="859"/>
      <c r="J92" s="858"/>
      <c r="K92" s="858"/>
      <c r="L92" s="859"/>
    </row>
    <row r="93" spans="1:12" s="860" customFormat="1">
      <c r="A93" s="851"/>
      <c r="B93" s="852"/>
      <c r="C93" s="853"/>
      <c r="D93" s="916"/>
      <c r="E93" s="854"/>
      <c r="F93" s="854"/>
      <c r="G93" s="855"/>
      <c r="H93" s="855"/>
      <c r="I93" s="856"/>
      <c r="J93" s="858"/>
      <c r="K93" s="858"/>
      <c r="L93" s="859"/>
    </row>
    <row r="94" spans="1:12" s="860" customFormat="1">
      <c r="A94" s="851"/>
      <c r="B94" s="852"/>
      <c r="C94" s="853"/>
      <c r="D94" s="916"/>
      <c r="E94" s="854"/>
      <c r="F94" s="854"/>
      <c r="G94" s="855"/>
      <c r="H94" s="855"/>
      <c r="I94" s="856"/>
      <c r="J94" s="858"/>
      <c r="K94" s="858"/>
      <c r="L94" s="859"/>
    </row>
    <row r="95" spans="1:12" s="860" customFormat="1">
      <c r="A95" s="851"/>
      <c r="B95" s="896"/>
      <c r="C95" s="853"/>
      <c r="D95" s="916"/>
      <c r="E95" s="854"/>
      <c r="F95" s="854"/>
      <c r="G95" s="855"/>
      <c r="H95" s="855"/>
      <c r="I95" s="856"/>
      <c r="J95" s="858"/>
      <c r="K95" s="858"/>
      <c r="L95" s="859"/>
    </row>
    <row r="96" spans="1:12" s="860" customFormat="1" ht="32.25" customHeight="1">
      <c r="A96" s="851"/>
      <c r="B96" s="1111" t="s">
        <v>949</v>
      </c>
      <c r="C96" s="1111"/>
      <c r="D96" s="1111"/>
      <c r="E96" s="1111"/>
      <c r="F96" s="1111"/>
      <c r="G96" s="1111"/>
      <c r="H96" s="1111"/>
      <c r="I96" s="1111"/>
      <c r="J96" s="1111"/>
      <c r="K96" s="1111"/>
      <c r="L96" s="859"/>
    </row>
    <row r="97" spans="1:12" s="860" customFormat="1" ht="12.75" customHeight="1">
      <c r="A97" s="851"/>
      <c r="B97" s="897"/>
      <c r="C97" s="853"/>
      <c r="D97" s="916"/>
      <c r="E97" s="854"/>
      <c r="F97" s="854"/>
      <c r="G97" s="855"/>
      <c r="H97" s="855"/>
      <c r="I97" s="856"/>
      <c r="J97" s="858"/>
      <c r="K97" s="858"/>
      <c r="L97" s="859"/>
    </row>
    <row r="98" spans="1:12" s="860" customFormat="1" ht="12.75" customHeight="1">
      <c r="A98" s="851"/>
      <c r="B98" s="897"/>
      <c r="C98" s="853"/>
      <c r="D98" s="916"/>
      <c r="E98" s="854"/>
      <c r="F98" s="854"/>
      <c r="G98" s="855"/>
      <c r="H98" s="855"/>
      <c r="I98" s="856"/>
      <c r="J98" s="858"/>
      <c r="K98" s="858"/>
      <c r="L98" s="859"/>
    </row>
    <row r="99" spans="1:12" s="860" customFormat="1">
      <c r="A99" s="851"/>
      <c r="B99" s="897"/>
      <c r="C99" s="853"/>
      <c r="D99" s="916"/>
      <c r="E99" s="854"/>
      <c r="F99" s="854"/>
      <c r="G99" s="855"/>
      <c r="H99" s="855"/>
      <c r="I99" s="856"/>
      <c r="J99" s="858"/>
      <c r="K99" s="858"/>
      <c r="L99" s="859"/>
    </row>
    <row r="100" spans="1:12" s="860" customFormat="1">
      <c r="A100" s="851"/>
      <c r="B100" s="897"/>
      <c r="C100" s="853"/>
      <c r="D100" s="916"/>
      <c r="E100" s="854"/>
      <c r="F100" s="854"/>
      <c r="G100" s="855"/>
      <c r="H100" s="855"/>
      <c r="I100" s="856"/>
      <c r="J100" s="858"/>
      <c r="K100" s="858"/>
      <c r="L100" s="859"/>
    </row>
    <row r="101" spans="1:12" s="860" customFormat="1">
      <c r="A101" s="851"/>
      <c r="B101" s="897"/>
      <c r="C101" s="853"/>
      <c r="D101" s="916"/>
      <c r="E101" s="854"/>
      <c r="F101" s="854"/>
      <c r="G101" s="855"/>
      <c r="H101" s="855"/>
      <c r="I101" s="856"/>
      <c r="J101" s="858"/>
      <c r="K101" s="858"/>
      <c r="L101" s="859"/>
    </row>
    <row r="102" spans="1:12" s="860" customFormat="1">
      <c r="A102" s="851"/>
      <c r="B102" s="852"/>
      <c r="C102" s="853"/>
      <c r="D102" s="916"/>
      <c r="E102" s="854"/>
      <c r="F102" s="854"/>
      <c r="G102" s="855"/>
      <c r="H102" s="855"/>
      <c r="I102" s="856"/>
      <c r="J102" s="858"/>
      <c r="K102" s="858"/>
      <c r="L102" s="859"/>
    </row>
    <row r="103" spans="1:12" s="860" customFormat="1">
      <c r="A103" s="851"/>
      <c r="B103" s="852"/>
      <c r="C103" s="853"/>
      <c r="D103" s="916"/>
      <c r="E103" s="854"/>
      <c r="F103" s="854"/>
      <c r="G103" s="855"/>
      <c r="H103" s="855"/>
      <c r="I103" s="856"/>
      <c r="J103" s="858"/>
      <c r="K103" s="858"/>
      <c r="L103" s="859"/>
    </row>
    <row r="104" spans="1:12" s="860" customFormat="1">
      <c r="A104" s="851"/>
      <c r="B104" s="852"/>
      <c r="C104" s="853"/>
      <c r="D104" s="916"/>
      <c r="E104" s="854"/>
      <c r="F104" s="854"/>
      <c r="G104" s="855"/>
      <c r="H104" s="855"/>
      <c r="I104" s="856"/>
      <c r="J104" s="858"/>
      <c r="K104" s="858"/>
      <c r="L104" s="859"/>
    </row>
    <row r="105" spans="1:12" s="860" customFormat="1">
      <c r="A105" s="851"/>
      <c r="B105" s="852"/>
      <c r="C105" s="853"/>
      <c r="D105" s="916"/>
      <c r="E105" s="854"/>
      <c r="F105" s="854"/>
      <c r="G105" s="855"/>
      <c r="H105" s="855"/>
      <c r="I105" s="856"/>
      <c r="J105" s="858"/>
      <c r="K105" s="858"/>
      <c r="L105" s="859"/>
    </row>
    <row r="106" spans="1:12" s="860" customFormat="1">
      <c r="A106" s="851"/>
      <c r="B106" s="852"/>
      <c r="C106" s="853"/>
      <c r="D106" s="916"/>
      <c r="E106" s="854"/>
      <c r="F106" s="854"/>
      <c r="G106" s="855"/>
      <c r="H106" s="855"/>
      <c r="I106" s="856"/>
      <c r="J106" s="858"/>
      <c r="K106" s="858"/>
      <c r="L106" s="859"/>
    </row>
    <row r="107" spans="1:12" s="860" customFormat="1">
      <c r="A107" s="851"/>
      <c r="B107" s="852"/>
      <c r="C107" s="853"/>
      <c r="D107" s="916"/>
      <c r="E107" s="854"/>
      <c r="F107" s="854"/>
      <c r="G107" s="855"/>
      <c r="H107" s="855"/>
      <c r="I107" s="856"/>
      <c r="J107" s="858"/>
      <c r="K107" s="858"/>
      <c r="L107" s="859"/>
    </row>
    <row r="108" spans="1:12" s="860" customFormat="1">
      <c r="A108" s="851"/>
      <c r="B108" s="852"/>
      <c r="C108" s="853"/>
      <c r="D108" s="916"/>
      <c r="E108" s="854"/>
      <c r="F108" s="854"/>
      <c r="G108" s="855"/>
      <c r="H108" s="855"/>
      <c r="I108" s="856"/>
      <c r="J108" s="858"/>
      <c r="K108" s="858"/>
      <c r="L108" s="859"/>
    </row>
    <row r="109" spans="1:12" s="860" customFormat="1">
      <c r="A109" s="851"/>
      <c r="B109" s="852"/>
      <c r="C109" s="853"/>
      <c r="D109" s="916"/>
      <c r="E109" s="854"/>
      <c r="F109" s="854"/>
      <c r="G109" s="855"/>
      <c r="H109" s="855"/>
      <c r="I109" s="856"/>
      <c r="J109" s="858"/>
      <c r="K109" s="858"/>
      <c r="L109" s="859"/>
    </row>
    <row r="110" spans="1:12" s="860" customFormat="1" ht="18.75">
      <c r="A110" s="851"/>
      <c r="B110" s="975"/>
      <c r="C110"/>
      <c r="D110"/>
      <c r="E110"/>
      <c r="F110"/>
      <c r="G110"/>
      <c r="H110" s="855"/>
      <c r="I110" s="856"/>
      <c r="J110" s="858"/>
      <c r="K110" s="858"/>
      <c r="L110" s="859"/>
    </row>
    <row r="111" spans="1:12" s="860" customFormat="1" ht="18.75">
      <c r="A111" s="851"/>
      <c r="B111" s="976" t="s">
        <v>950</v>
      </c>
      <c r="C111"/>
      <c r="D111" s="980"/>
      <c r="E111" s="980"/>
      <c r="F111" s="980"/>
      <c r="G111"/>
      <c r="H111" s="855"/>
      <c r="I111" s="856"/>
      <c r="J111" s="858"/>
      <c r="K111" s="858"/>
      <c r="L111" s="859"/>
    </row>
    <row r="112" spans="1:12" s="860" customFormat="1" ht="18.75">
      <c r="A112" s="851"/>
      <c r="B112" s="976" t="s">
        <v>951</v>
      </c>
      <c r="C112"/>
      <c r="D112" s="980"/>
      <c r="E112" s="980"/>
      <c r="F112" s="980"/>
      <c r="G112"/>
      <c r="H112" s="855"/>
      <c r="I112" s="856"/>
      <c r="J112" s="858"/>
      <c r="K112" s="858"/>
      <c r="L112" s="859"/>
    </row>
    <row r="113" spans="1:12" s="860" customFormat="1" ht="18.75">
      <c r="A113" s="851"/>
      <c r="B113" s="976" t="s">
        <v>952</v>
      </c>
      <c r="C113"/>
      <c r="D113" s="980"/>
      <c r="E113" s="980"/>
      <c r="F113" s="980"/>
      <c r="G113"/>
      <c r="H113" s="855"/>
      <c r="I113" s="856"/>
      <c r="J113" s="858"/>
      <c r="K113" s="858"/>
      <c r="L113" s="859"/>
    </row>
    <row r="114" spans="1:12" s="860" customFormat="1" ht="18.75">
      <c r="A114" s="851"/>
      <c r="B114" s="976"/>
      <c r="C114"/>
      <c r="D114" s="980"/>
      <c r="E114" s="980"/>
      <c r="F114" s="980"/>
      <c r="G114"/>
      <c r="H114" s="855"/>
      <c r="I114" s="856"/>
      <c r="J114" s="858"/>
      <c r="K114" s="858"/>
      <c r="L114" s="859"/>
    </row>
    <row r="115" spans="1:12" s="860" customFormat="1" ht="18.75">
      <c r="A115" s="851"/>
      <c r="B115" s="976"/>
      <c r="C115"/>
      <c r="D115" s="980"/>
      <c r="E115" s="980"/>
      <c r="F115" s="980"/>
      <c r="G115"/>
      <c r="H115" s="855"/>
      <c r="I115" s="856"/>
      <c r="J115" s="858"/>
      <c r="K115" s="858"/>
      <c r="L115" s="859"/>
    </row>
    <row r="116" spans="1:12" s="860" customFormat="1" ht="18.75">
      <c r="A116" s="851"/>
      <c r="B116" s="976" t="s">
        <v>953</v>
      </c>
      <c r="C116"/>
      <c r="D116" s="980"/>
      <c r="E116" s="980"/>
      <c r="F116" s="980"/>
      <c r="G116"/>
      <c r="H116" s="855"/>
      <c r="I116" s="856"/>
      <c r="J116" s="858"/>
      <c r="K116" s="858"/>
      <c r="L116" s="859"/>
    </row>
    <row r="117" spans="1:12" s="860" customFormat="1" ht="18.75">
      <c r="A117" s="851"/>
      <c r="B117" s="976" t="s">
        <v>954</v>
      </c>
      <c r="C117"/>
      <c r="D117" s="980"/>
      <c r="E117" s="980"/>
      <c r="F117" s="980"/>
      <c r="G117"/>
      <c r="H117" s="855"/>
      <c r="I117" s="856"/>
      <c r="J117" s="858"/>
      <c r="K117" s="858"/>
      <c r="L117" s="859"/>
    </row>
    <row r="118" spans="1:12" s="860" customFormat="1" ht="18.75">
      <c r="A118" s="851"/>
      <c r="B118" s="977"/>
      <c r="C118"/>
      <c r="D118" s="980"/>
      <c r="E118" s="980"/>
      <c r="F118" s="980"/>
      <c r="G118"/>
      <c r="H118" s="855"/>
      <c r="I118" s="856"/>
      <c r="J118" s="858"/>
      <c r="K118" s="858"/>
      <c r="L118" s="859"/>
    </row>
    <row r="119" spans="1:12" s="860" customFormat="1" ht="18.75">
      <c r="A119" s="851"/>
      <c r="B119" s="977"/>
      <c r="C119"/>
      <c r="D119" s="980"/>
      <c r="E119" s="980"/>
      <c r="F119" s="980"/>
      <c r="G119"/>
      <c r="H119" s="855"/>
      <c r="I119" s="856"/>
      <c r="J119" s="858"/>
      <c r="K119" s="858"/>
      <c r="L119" s="859"/>
    </row>
    <row r="120" spans="1:12" s="860" customFormat="1" ht="18.75">
      <c r="A120" s="851"/>
      <c r="B120" s="976" t="s">
        <v>955</v>
      </c>
      <c r="C120"/>
      <c r="D120" s="980"/>
      <c r="E120" s="980"/>
      <c r="F120" s="980"/>
      <c r="G120" s="976" t="s">
        <v>956</v>
      </c>
      <c r="H120" s="855"/>
      <c r="I120" s="856"/>
      <c r="J120" s="858"/>
      <c r="K120" s="858"/>
      <c r="L120" s="859"/>
    </row>
    <row r="121" spans="1:12" s="860" customFormat="1" ht="18.75">
      <c r="A121" s="851"/>
      <c r="B121" s="976" t="s">
        <v>957</v>
      </c>
      <c r="C121"/>
      <c r="D121" s="980"/>
      <c r="E121" s="980"/>
      <c r="F121" s="980"/>
      <c r="G121"/>
      <c r="H121" s="855"/>
      <c r="I121" s="856"/>
      <c r="J121" s="858"/>
      <c r="K121" s="858"/>
      <c r="L121" s="859"/>
    </row>
    <row r="122" spans="1:12" s="860" customFormat="1" ht="18.75">
      <c r="A122" s="851"/>
      <c r="B122" s="976"/>
      <c r="C122"/>
      <c r="D122" s="980"/>
      <c r="E122" s="980"/>
      <c r="F122" s="980"/>
      <c r="G122"/>
      <c r="H122" s="855"/>
      <c r="I122" s="856"/>
      <c r="J122" s="858"/>
      <c r="K122" s="858"/>
      <c r="L122" s="859"/>
    </row>
    <row r="123" spans="1:12" s="860" customFormat="1" ht="18.75">
      <c r="A123" s="851"/>
      <c r="B123" s="976"/>
      <c r="C123"/>
      <c r="D123" s="980"/>
      <c r="E123" s="980"/>
      <c r="F123" s="980"/>
      <c r="G123"/>
      <c r="H123" s="855"/>
      <c r="I123" s="856"/>
      <c r="J123" s="858"/>
      <c r="K123" s="858"/>
      <c r="L123" s="859"/>
    </row>
    <row r="124" spans="1:12" s="860" customFormat="1" ht="18.75">
      <c r="A124" s="851"/>
      <c r="B124" s="975" t="s">
        <v>958</v>
      </c>
      <c r="C124"/>
      <c r="D124" s="980"/>
      <c r="E124" s="980"/>
      <c r="F124" s="980"/>
      <c r="G124"/>
      <c r="H124" s="855"/>
      <c r="I124" s="856"/>
      <c r="J124" s="858"/>
      <c r="K124" s="858"/>
      <c r="L124" s="859"/>
    </row>
    <row r="125" spans="1:12" s="860" customFormat="1" ht="18.75">
      <c r="A125" s="851"/>
      <c r="B125" s="977" t="s">
        <v>959</v>
      </c>
      <c r="C125"/>
      <c r="D125" s="980"/>
      <c r="E125" s="980"/>
      <c r="F125" s="980"/>
      <c r="G125"/>
      <c r="H125" s="855"/>
      <c r="I125" s="856"/>
      <c r="J125" s="858"/>
      <c r="K125" s="858"/>
      <c r="L125" s="859"/>
    </row>
    <row r="126" spans="1:12" s="860" customFormat="1" ht="18.75">
      <c r="A126" s="851"/>
      <c r="B126" s="978" t="s">
        <v>960</v>
      </c>
      <c r="C126"/>
      <c r="D126" s="980"/>
      <c r="E126" s="980"/>
      <c r="F126" s="980"/>
      <c r="G126"/>
      <c r="H126" s="855"/>
      <c r="I126" s="856"/>
      <c r="J126" s="858"/>
      <c r="K126" s="858"/>
      <c r="L126" s="859"/>
    </row>
    <row r="127" spans="1:12" s="860" customFormat="1" ht="18.75">
      <c r="A127" s="851"/>
      <c r="B127" s="976" t="s">
        <v>16</v>
      </c>
      <c r="C127"/>
      <c r="D127" s="980"/>
      <c r="E127" s="980"/>
      <c r="F127" s="980"/>
      <c r="G127"/>
      <c r="H127" s="855"/>
      <c r="I127" s="856"/>
      <c r="J127" s="858"/>
      <c r="K127" s="858"/>
      <c r="L127" s="859"/>
    </row>
    <row r="128" spans="1:12" s="860" customFormat="1" ht="18.75">
      <c r="A128" s="851"/>
      <c r="B128" s="976"/>
      <c r="C128"/>
      <c r="D128" s="980"/>
      <c r="E128" s="980"/>
      <c r="F128" s="980"/>
      <c r="G128"/>
      <c r="H128" s="855"/>
      <c r="I128" s="856"/>
      <c r="J128" s="858"/>
      <c r="K128" s="858"/>
      <c r="L128" s="859"/>
    </row>
    <row r="129" spans="1:12" s="860" customFormat="1" ht="18.75">
      <c r="A129" s="851"/>
      <c r="B129" s="977" t="s">
        <v>961</v>
      </c>
      <c r="C129"/>
      <c r="D129" s="980"/>
      <c r="E129" s="980"/>
      <c r="F129" s="980"/>
      <c r="G129"/>
      <c r="H129" s="855"/>
      <c r="I129" s="856"/>
      <c r="J129" s="858"/>
      <c r="K129" s="858"/>
      <c r="L129" s="859"/>
    </row>
    <row r="130" spans="1:12" s="860" customFormat="1" ht="18.75">
      <c r="A130" s="851"/>
      <c r="B130" s="977" t="s">
        <v>959</v>
      </c>
      <c r="C130"/>
      <c r="D130" s="979" t="s">
        <v>962</v>
      </c>
      <c r="E130" s="979"/>
      <c r="F130" s="979"/>
      <c r="G130"/>
      <c r="H130" s="855"/>
      <c r="I130" s="856"/>
      <c r="J130" s="858"/>
      <c r="K130" s="858"/>
      <c r="L130" s="859"/>
    </row>
    <row r="131" spans="1:12" s="860" customFormat="1" ht="18.75">
      <c r="A131" s="851"/>
      <c r="B131" s="977" t="s">
        <v>963</v>
      </c>
      <c r="C131"/>
      <c r="D131"/>
      <c r="E131"/>
      <c r="F131"/>
      <c r="G131"/>
      <c r="H131" s="855"/>
      <c r="I131" s="856"/>
      <c r="J131" s="858"/>
      <c r="K131" s="858"/>
      <c r="L131" s="859"/>
    </row>
    <row r="132" spans="1:12" s="860" customFormat="1">
      <c r="A132" s="851"/>
      <c r="B132" s="852"/>
      <c r="C132" s="853"/>
      <c r="D132" s="916"/>
      <c r="E132" s="854"/>
      <c r="F132" s="854"/>
      <c r="G132" s="855"/>
      <c r="H132" s="855"/>
      <c r="I132" s="856"/>
      <c r="J132" s="858"/>
      <c r="K132" s="858"/>
      <c r="L132" s="859"/>
    </row>
    <row r="133" spans="1:12" s="860" customFormat="1">
      <c r="A133" s="851"/>
      <c r="B133" s="852"/>
      <c r="C133" s="853"/>
      <c r="D133" s="916"/>
      <c r="E133" s="854"/>
      <c r="F133" s="854"/>
      <c r="G133" s="855"/>
      <c r="H133" s="855"/>
      <c r="I133" s="856"/>
      <c r="J133" s="858"/>
      <c r="K133" s="858"/>
      <c r="L133" s="859"/>
    </row>
    <row r="134" spans="1:12" s="860" customFormat="1">
      <c r="A134" s="851"/>
      <c r="B134" s="852"/>
      <c r="C134" s="853"/>
      <c r="D134" s="916"/>
      <c r="E134" s="854"/>
      <c r="F134" s="854"/>
      <c r="G134" s="855"/>
      <c r="H134" s="855"/>
      <c r="I134" s="856"/>
      <c r="J134" s="858"/>
      <c r="K134" s="858"/>
      <c r="L134" s="859"/>
    </row>
    <row r="135" spans="1:12" s="860" customFormat="1">
      <c r="A135" s="851"/>
      <c r="B135" s="852"/>
      <c r="C135" s="853"/>
      <c r="D135" s="916"/>
      <c r="E135" s="854"/>
      <c r="F135" s="854"/>
      <c r="G135" s="855"/>
      <c r="H135" s="855"/>
      <c r="I135" s="856"/>
      <c r="J135" s="858"/>
      <c r="K135" s="858"/>
      <c r="L135" s="859"/>
    </row>
    <row r="136" spans="1:12" s="860" customFormat="1">
      <c r="A136" s="851"/>
      <c r="B136" s="852"/>
      <c r="C136" s="853"/>
      <c r="D136" s="916"/>
      <c r="E136" s="854"/>
      <c r="F136" s="854"/>
      <c r="G136" s="855"/>
      <c r="H136" s="855"/>
      <c r="I136" s="856"/>
      <c r="J136" s="858"/>
      <c r="K136" s="858"/>
      <c r="L136" s="859"/>
    </row>
    <row r="137" spans="1:12" s="860" customFormat="1">
      <c r="A137" s="851"/>
      <c r="B137" s="852"/>
      <c r="C137" s="853"/>
      <c r="D137" s="916"/>
      <c r="E137" s="854"/>
      <c r="F137" s="854"/>
      <c r="G137" s="855"/>
      <c r="H137" s="855"/>
      <c r="I137" s="856"/>
      <c r="J137" s="858"/>
      <c r="K137" s="858"/>
      <c r="L137" s="859"/>
    </row>
    <row r="138" spans="1:12" s="860" customFormat="1">
      <c r="A138" s="851"/>
      <c r="B138" s="852"/>
      <c r="C138" s="853"/>
      <c r="D138" s="916"/>
      <c r="E138" s="854"/>
      <c r="F138" s="854"/>
      <c r="G138" s="855"/>
      <c r="H138" s="855"/>
      <c r="I138" s="856"/>
      <c r="J138" s="858"/>
      <c r="K138" s="858"/>
      <c r="L138" s="859"/>
    </row>
    <row r="139" spans="1:12" s="860" customFormat="1">
      <c r="A139" s="851"/>
      <c r="B139" s="852"/>
      <c r="C139" s="853"/>
      <c r="D139" s="916"/>
      <c r="E139" s="854"/>
      <c r="F139" s="854"/>
      <c r="G139" s="855"/>
      <c r="H139" s="855"/>
      <c r="I139" s="856"/>
      <c r="J139" s="858"/>
      <c r="K139" s="858"/>
      <c r="L139" s="859"/>
    </row>
    <row r="140" spans="1:12" s="860" customFormat="1">
      <c r="A140" s="851"/>
      <c r="B140" s="852"/>
      <c r="C140" s="853"/>
      <c r="D140" s="916"/>
      <c r="E140" s="854"/>
      <c r="F140" s="854"/>
      <c r="G140" s="855"/>
      <c r="H140" s="855"/>
      <c r="I140" s="856"/>
      <c r="J140" s="858"/>
      <c r="K140" s="858"/>
      <c r="L140" s="859"/>
    </row>
    <row r="141" spans="1:12" s="860" customFormat="1">
      <c r="A141" s="851"/>
      <c r="B141" s="852"/>
      <c r="C141" s="853"/>
      <c r="D141" s="916"/>
      <c r="E141" s="854"/>
      <c r="F141" s="854"/>
      <c r="G141" s="855"/>
      <c r="H141" s="855"/>
      <c r="I141" s="856"/>
      <c r="J141" s="858"/>
      <c r="K141" s="858"/>
      <c r="L141" s="859"/>
    </row>
    <row r="142" spans="1:12" s="860" customFormat="1">
      <c r="A142" s="851"/>
      <c r="B142" s="852"/>
      <c r="C142" s="853"/>
      <c r="D142" s="916"/>
      <c r="E142" s="854"/>
      <c r="F142" s="854"/>
      <c r="G142" s="855"/>
      <c r="H142" s="855"/>
      <c r="I142" s="856"/>
      <c r="J142" s="858"/>
      <c r="K142" s="858"/>
      <c r="L142" s="859"/>
    </row>
    <row r="143" spans="1:12" s="860" customFormat="1">
      <c r="A143" s="851"/>
      <c r="B143" s="852"/>
      <c r="C143" s="853"/>
      <c r="D143" s="916"/>
      <c r="E143" s="854"/>
      <c r="F143" s="854"/>
      <c r="G143" s="855"/>
      <c r="H143" s="855"/>
      <c r="I143" s="856"/>
      <c r="J143" s="858"/>
      <c r="K143" s="858"/>
      <c r="L143" s="859"/>
    </row>
    <row r="144" spans="1:12" s="860" customFormat="1">
      <c r="A144" s="851"/>
      <c r="B144" s="852"/>
      <c r="C144" s="853"/>
      <c r="D144" s="916"/>
      <c r="E144" s="854"/>
      <c r="F144" s="854"/>
      <c r="G144" s="855"/>
      <c r="H144" s="855"/>
      <c r="I144" s="856"/>
      <c r="J144" s="858"/>
      <c r="K144" s="858"/>
      <c r="L144" s="859"/>
    </row>
    <row r="145" spans="1:12" s="860" customFormat="1">
      <c r="A145" s="851"/>
      <c r="B145" s="852"/>
      <c r="C145" s="853"/>
      <c r="D145" s="916"/>
      <c r="E145" s="854"/>
      <c r="F145" s="854"/>
      <c r="G145" s="855"/>
      <c r="H145" s="855"/>
      <c r="I145" s="856"/>
      <c r="J145" s="858"/>
      <c r="K145" s="858"/>
      <c r="L145" s="859"/>
    </row>
    <row r="146" spans="1:12" s="860" customFormat="1">
      <c r="A146" s="851"/>
      <c r="B146" s="852"/>
      <c r="C146" s="853"/>
      <c r="D146" s="916"/>
      <c r="E146" s="854"/>
      <c r="F146" s="854"/>
      <c r="G146" s="855"/>
      <c r="H146" s="855"/>
      <c r="I146" s="856"/>
      <c r="J146" s="858"/>
      <c r="K146" s="858"/>
      <c r="L146" s="859"/>
    </row>
    <row r="147" spans="1:12" s="860" customFormat="1">
      <c r="A147" s="851"/>
      <c r="B147" s="852"/>
      <c r="C147" s="853"/>
      <c r="D147" s="916"/>
      <c r="E147" s="854"/>
      <c r="F147" s="854"/>
      <c r="G147" s="855"/>
      <c r="H147" s="855"/>
      <c r="I147" s="856"/>
      <c r="J147" s="858"/>
      <c r="K147" s="858"/>
      <c r="L147" s="859"/>
    </row>
    <row r="148" spans="1:12" s="860" customFormat="1">
      <c r="A148" s="851"/>
      <c r="B148" s="852"/>
      <c r="C148" s="853"/>
      <c r="D148" s="916"/>
      <c r="E148" s="854"/>
      <c r="F148" s="854"/>
      <c r="G148" s="855"/>
      <c r="H148" s="855"/>
      <c r="I148" s="856"/>
      <c r="J148" s="858"/>
      <c r="K148" s="858"/>
      <c r="L148" s="859"/>
    </row>
    <row r="149" spans="1:12" s="860" customFormat="1">
      <c r="A149" s="851"/>
      <c r="B149" s="852"/>
      <c r="C149" s="853"/>
      <c r="D149" s="916"/>
      <c r="E149" s="854"/>
      <c r="F149" s="854"/>
      <c r="G149" s="855"/>
      <c r="H149" s="855"/>
      <c r="I149" s="856"/>
      <c r="J149" s="858"/>
      <c r="K149" s="858"/>
      <c r="L149" s="859"/>
    </row>
    <row r="150" spans="1:12" s="860" customFormat="1">
      <c r="A150" s="851"/>
      <c r="B150" s="852"/>
      <c r="C150" s="853"/>
      <c r="D150" s="916"/>
      <c r="E150" s="854"/>
      <c r="F150" s="854"/>
      <c r="G150" s="855"/>
      <c r="H150" s="855"/>
      <c r="I150" s="856"/>
      <c r="J150" s="858"/>
      <c r="K150" s="858"/>
      <c r="L150" s="859"/>
    </row>
    <row r="151" spans="1:12" s="860" customFormat="1">
      <c r="A151" s="851"/>
      <c r="B151" s="852"/>
      <c r="C151" s="853"/>
      <c r="D151" s="916"/>
      <c r="E151" s="854"/>
      <c r="F151" s="854"/>
      <c r="G151" s="855"/>
      <c r="H151" s="855"/>
      <c r="I151" s="856"/>
      <c r="J151" s="858"/>
      <c r="K151" s="858"/>
      <c r="L151" s="859"/>
    </row>
    <row r="152" spans="1:12" s="860" customFormat="1">
      <c r="A152" s="851"/>
      <c r="B152" s="852"/>
      <c r="C152" s="853"/>
      <c r="D152" s="916"/>
      <c r="E152" s="854"/>
      <c r="F152" s="854"/>
      <c r="G152" s="855"/>
      <c r="H152" s="855"/>
      <c r="I152" s="856"/>
      <c r="J152" s="858"/>
      <c r="K152" s="858"/>
      <c r="L152" s="859"/>
    </row>
    <row r="153" spans="1:12" s="860" customFormat="1">
      <c r="A153" s="851"/>
      <c r="B153" s="852"/>
      <c r="C153" s="853"/>
      <c r="D153" s="916"/>
      <c r="E153" s="854"/>
      <c r="F153" s="854"/>
      <c r="G153" s="855"/>
      <c r="H153" s="855"/>
      <c r="I153" s="856"/>
      <c r="J153" s="858"/>
      <c r="K153" s="858"/>
      <c r="L153" s="859"/>
    </row>
    <row r="154" spans="1:12" s="860" customFormat="1">
      <c r="A154" s="851"/>
      <c r="B154" s="852"/>
      <c r="C154" s="853"/>
      <c r="D154" s="916"/>
      <c r="E154" s="854"/>
      <c r="F154" s="854"/>
      <c r="G154" s="855"/>
      <c r="H154" s="855"/>
      <c r="I154" s="856"/>
      <c r="J154" s="858"/>
      <c r="K154" s="858"/>
      <c r="L154" s="859"/>
    </row>
    <row r="155" spans="1:12" s="860" customFormat="1">
      <c r="A155" s="851"/>
      <c r="B155" s="852"/>
      <c r="C155" s="853"/>
      <c r="D155" s="916"/>
      <c r="E155" s="854"/>
      <c r="F155" s="854"/>
      <c r="G155" s="855"/>
      <c r="H155" s="855"/>
      <c r="I155" s="856"/>
      <c r="J155" s="858"/>
      <c r="K155" s="858"/>
      <c r="L155" s="859"/>
    </row>
    <row r="156" spans="1:12" s="860" customFormat="1">
      <c r="A156" s="851"/>
      <c r="B156" s="852"/>
      <c r="C156" s="853"/>
      <c r="D156" s="916"/>
      <c r="E156" s="854"/>
      <c r="F156" s="854"/>
      <c r="G156" s="855"/>
      <c r="H156" s="855"/>
      <c r="I156" s="856"/>
      <c r="J156" s="858"/>
      <c r="K156" s="858"/>
      <c r="L156" s="859"/>
    </row>
    <row r="157" spans="1:12" s="860" customFormat="1">
      <c r="A157" s="851"/>
      <c r="B157" s="852"/>
      <c r="C157" s="853"/>
      <c r="D157" s="916"/>
      <c r="E157" s="854"/>
      <c r="F157" s="854"/>
      <c r="G157" s="855"/>
      <c r="H157" s="855"/>
      <c r="I157" s="856"/>
      <c r="J157" s="858"/>
      <c r="K157" s="858"/>
      <c r="L157" s="859"/>
    </row>
    <row r="158" spans="1:12" s="860" customFormat="1">
      <c r="A158" s="851"/>
      <c r="B158" s="852"/>
      <c r="C158" s="853"/>
      <c r="D158" s="916"/>
      <c r="E158" s="854"/>
      <c r="F158" s="854"/>
      <c r="G158" s="855"/>
      <c r="H158" s="855"/>
      <c r="I158" s="856"/>
      <c r="J158" s="858"/>
      <c r="K158" s="858"/>
      <c r="L158" s="859"/>
    </row>
    <row r="159" spans="1:12" s="860" customFormat="1">
      <c r="A159" s="851"/>
      <c r="B159" s="852"/>
      <c r="C159" s="853"/>
      <c r="D159" s="916"/>
      <c r="E159" s="854"/>
      <c r="F159" s="854"/>
      <c r="G159" s="855"/>
      <c r="H159" s="855"/>
      <c r="I159" s="856"/>
      <c r="J159" s="858"/>
      <c r="K159" s="858"/>
      <c r="L159" s="859"/>
    </row>
    <row r="160" spans="1:12" s="860" customFormat="1">
      <c r="A160" s="851"/>
      <c r="B160" s="852"/>
      <c r="C160" s="853"/>
      <c r="D160" s="916"/>
      <c r="E160" s="854"/>
      <c r="F160" s="854"/>
      <c r="G160" s="855"/>
      <c r="H160" s="855"/>
      <c r="I160" s="856"/>
      <c r="J160" s="858"/>
      <c r="K160" s="858"/>
      <c r="L160" s="859"/>
    </row>
    <row r="161" spans="1:12" s="860" customFormat="1">
      <c r="A161" s="851"/>
      <c r="B161" s="852"/>
      <c r="C161" s="853"/>
      <c r="D161" s="916"/>
      <c r="E161" s="854"/>
      <c r="F161" s="854"/>
      <c r="G161" s="855"/>
      <c r="H161" s="855"/>
      <c r="I161" s="856"/>
      <c r="J161" s="858"/>
      <c r="K161" s="858"/>
      <c r="L161" s="859"/>
    </row>
    <row r="162" spans="1:12" s="860" customFormat="1">
      <c r="A162" s="851"/>
      <c r="B162" s="852"/>
      <c r="C162" s="853"/>
      <c r="D162" s="916"/>
      <c r="E162" s="854"/>
      <c r="F162" s="854"/>
      <c r="G162" s="855"/>
      <c r="H162" s="855"/>
      <c r="I162" s="856"/>
      <c r="J162" s="858"/>
      <c r="K162" s="858"/>
      <c r="L162" s="859"/>
    </row>
    <row r="163" spans="1:12" s="860" customFormat="1">
      <c r="A163" s="851"/>
      <c r="B163" s="852"/>
      <c r="C163" s="853"/>
      <c r="D163" s="916"/>
      <c r="E163" s="854"/>
      <c r="F163" s="854"/>
      <c r="G163" s="855"/>
      <c r="H163" s="855"/>
      <c r="I163" s="856"/>
      <c r="J163" s="858"/>
      <c r="K163" s="858"/>
      <c r="L163" s="859"/>
    </row>
    <row r="164" spans="1:12" s="860" customFormat="1">
      <c r="A164" s="851"/>
      <c r="B164" s="852"/>
      <c r="C164" s="853"/>
      <c r="D164" s="916"/>
      <c r="E164" s="854"/>
      <c r="F164" s="854"/>
      <c r="G164" s="855"/>
      <c r="H164" s="855"/>
      <c r="I164" s="856"/>
      <c r="J164" s="858"/>
      <c r="K164" s="858"/>
      <c r="L164" s="859"/>
    </row>
    <row r="165" spans="1:12" s="860" customFormat="1">
      <c r="A165" s="851"/>
      <c r="B165" s="852"/>
      <c r="C165" s="853"/>
      <c r="D165" s="916"/>
      <c r="E165" s="854"/>
      <c r="F165" s="854"/>
      <c r="G165" s="855"/>
      <c r="H165" s="855"/>
      <c r="I165" s="856"/>
      <c r="J165" s="858"/>
      <c r="K165" s="858"/>
      <c r="L165" s="859"/>
    </row>
    <row r="166" spans="1:12" s="860" customFormat="1">
      <c r="A166" s="851"/>
      <c r="B166" s="852"/>
      <c r="C166" s="853"/>
      <c r="D166" s="916"/>
      <c r="E166" s="854"/>
      <c r="F166" s="854"/>
      <c r="G166" s="855"/>
      <c r="H166" s="855"/>
      <c r="I166" s="856"/>
      <c r="J166" s="858"/>
      <c r="K166" s="858"/>
      <c r="L166" s="859"/>
    </row>
    <row r="167" spans="1:12" s="860" customFormat="1">
      <c r="A167" s="851"/>
      <c r="B167" s="852"/>
      <c r="C167" s="853"/>
      <c r="D167" s="916"/>
      <c r="E167" s="854"/>
      <c r="F167" s="854"/>
      <c r="G167" s="855"/>
      <c r="H167" s="855"/>
      <c r="I167" s="856"/>
      <c r="J167" s="858"/>
      <c r="K167" s="858"/>
      <c r="L167" s="859"/>
    </row>
    <row r="168" spans="1:12" s="860" customFormat="1">
      <c r="A168" s="851"/>
      <c r="B168" s="852"/>
      <c r="C168" s="853"/>
      <c r="D168" s="916"/>
      <c r="E168" s="854"/>
      <c r="F168" s="854"/>
      <c r="G168" s="855"/>
      <c r="H168" s="855"/>
      <c r="I168" s="856"/>
      <c r="J168" s="858"/>
      <c r="K168" s="858"/>
      <c r="L168" s="859"/>
    </row>
    <row r="169" spans="1:12" s="860" customFormat="1">
      <c r="A169" s="851"/>
      <c r="B169" s="852"/>
      <c r="C169" s="853"/>
      <c r="D169" s="916"/>
      <c r="E169" s="854"/>
      <c r="F169" s="854"/>
      <c r="G169" s="855"/>
      <c r="H169" s="855"/>
      <c r="I169" s="856"/>
      <c r="J169" s="858"/>
      <c r="K169" s="858"/>
      <c r="L169" s="859"/>
    </row>
    <row r="170" spans="1:12" s="860" customFormat="1">
      <c r="A170" s="851"/>
      <c r="B170" s="852"/>
      <c r="C170" s="853"/>
      <c r="D170" s="916"/>
      <c r="E170" s="854"/>
      <c r="F170" s="854"/>
      <c r="G170" s="855"/>
      <c r="H170" s="855"/>
      <c r="I170" s="856"/>
      <c r="J170" s="858"/>
      <c r="K170" s="858"/>
      <c r="L170" s="859"/>
    </row>
    <row r="171" spans="1:12" s="860" customFormat="1">
      <c r="A171" s="851"/>
      <c r="B171" s="852"/>
      <c r="C171" s="853"/>
      <c r="D171" s="916"/>
      <c r="E171" s="854"/>
      <c r="F171" s="854"/>
      <c r="G171" s="855"/>
      <c r="H171" s="855"/>
      <c r="I171" s="856"/>
      <c r="J171" s="858"/>
      <c r="K171" s="858"/>
      <c r="L171" s="859"/>
    </row>
    <row r="172" spans="1:12" s="860" customFormat="1">
      <c r="A172" s="851"/>
      <c r="B172" s="852"/>
      <c r="C172" s="853"/>
      <c r="D172" s="916"/>
      <c r="E172" s="854"/>
      <c r="F172" s="854"/>
      <c r="G172" s="855"/>
      <c r="H172" s="855"/>
      <c r="I172" s="856"/>
      <c r="J172" s="858"/>
      <c r="K172" s="858"/>
      <c r="L172" s="859"/>
    </row>
    <row r="173" spans="1:12" s="860" customFormat="1">
      <c r="A173" s="851"/>
      <c r="B173" s="852"/>
      <c r="C173" s="853"/>
      <c r="D173" s="916"/>
      <c r="E173" s="854"/>
      <c r="F173" s="854"/>
      <c r="G173" s="855"/>
      <c r="H173" s="855"/>
      <c r="I173" s="856"/>
      <c r="J173" s="858"/>
      <c r="K173" s="858"/>
      <c r="L173" s="859"/>
    </row>
    <row r="174" spans="1:12" s="860" customFormat="1">
      <c r="A174" s="851"/>
      <c r="B174" s="852"/>
      <c r="C174" s="853"/>
      <c r="D174" s="916"/>
      <c r="E174" s="854"/>
      <c r="F174" s="854"/>
      <c r="G174" s="855"/>
      <c r="H174" s="855"/>
      <c r="I174" s="856"/>
      <c r="J174" s="858"/>
      <c r="K174" s="858"/>
      <c r="L174" s="859"/>
    </row>
    <row r="175" spans="1:12" s="860" customFormat="1">
      <c r="A175" s="851"/>
      <c r="B175" s="852"/>
      <c r="C175" s="853"/>
      <c r="D175" s="916"/>
      <c r="E175" s="854"/>
      <c r="F175" s="854"/>
      <c r="G175" s="855"/>
      <c r="H175" s="855"/>
      <c r="I175" s="856"/>
      <c r="J175" s="858"/>
      <c r="K175" s="858"/>
      <c r="L175" s="859"/>
    </row>
    <row r="176" spans="1:12" s="860" customFormat="1">
      <c r="A176" s="851"/>
      <c r="B176" s="852"/>
      <c r="C176" s="853"/>
      <c r="D176" s="916"/>
      <c r="E176" s="854"/>
      <c r="F176" s="854"/>
      <c r="G176" s="855"/>
      <c r="H176" s="855"/>
      <c r="I176" s="856"/>
      <c r="J176" s="858"/>
      <c r="K176" s="858"/>
      <c r="L176" s="859"/>
    </row>
    <row r="177" spans="1:12" s="860" customFormat="1">
      <c r="A177" s="851"/>
      <c r="B177" s="852"/>
      <c r="C177" s="853"/>
      <c r="D177" s="916"/>
      <c r="E177" s="854"/>
      <c r="F177" s="854"/>
      <c r="G177" s="855"/>
      <c r="H177" s="855"/>
      <c r="I177" s="856"/>
      <c r="J177" s="858"/>
      <c r="K177" s="858"/>
      <c r="L177" s="859"/>
    </row>
    <row r="178" spans="1:12" s="860" customFormat="1">
      <c r="A178" s="851"/>
      <c r="B178" s="852"/>
      <c r="C178" s="853"/>
      <c r="D178" s="916"/>
      <c r="E178" s="854"/>
      <c r="F178" s="854"/>
      <c r="G178" s="855"/>
      <c r="H178" s="855"/>
      <c r="I178" s="856"/>
      <c r="J178" s="858"/>
      <c r="K178" s="858"/>
      <c r="L178" s="859"/>
    </row>
    <row r="179" spans="1:12" s="860" customFormat="1">
      <c r="A179" s="851"/>
      <c r="B179" s="852"/>
      <c r="C179" s="853"/>
      <c r="D179" s="916"/>
      <c r="E179" s="854"/>
      <c r="F179" s="854"/>
      <c r="G179" s="855"/>
      <c r="H179" s="855"/>
      <c r="I179" s="856"/>
      <c r="J179" s="858"/>
      <c r="K179" s="858"/>
      <c r="L179" s="859"/>
    </row>
    <row r="180" spans="1:12" s="860" customFormat="1">
      <c r="A180" s="851"/>
      <c r="B180" s="852"/>
      <c r="C180" s="853"/>
      <c r="D180" s="916"/>
      <c r="E180" s="854"/>
      <c r="F180" s="854"/>
      <c r="G180" s="855"/>
      <c r="H180" s="855"/>
      <c r="I180" s="856"/>
      <c r="J180" s="858"/>
      <c r="K180" s="858"/>
      <c r="L180" s="859"/>
    </row>
    <row r="181" spans="1:12" s="860" customFormat="1">
      <c r="A181" s="851"/>
      <c r="B181" s="852"/>
      <c r="C181" s="853"/>
      <c r="D181" s="916"/>
      <c r="E181" s="854"/>
      <c r="F181" s="854"/>
      <c r="G181" s="855"/>
      <c r="H181" s="855"/>
      <c r="I181" s="856"/>
      <c r="J181" s="858"/>
      <c r="K181" s="858"/>
      <c r="L181" s="859"/>
    </row>
    <row r="182" spans="1:12" s="860" customFormat="1">
      <c r="A182" s="851"/>
      <c r="B182" s="852"/>
      <c r="C182" s="853"/>
      <c r="D182" s="916"/>
      <c r="E182" s="854"/>
      <c r="F182" s="854"/>
      <c r="G182" s="855"/>
      <c r="H182" s="855"/>
      <c r="I182" s="856"/>
      <c r="J182" s="858"/>
      <c r="K182" s="858"/>
      <c r="L182" s="859"/>
    </row>
    <row r="183" spans="1:12" s="860" customFormat="1">
      <c r="A183" s="851"/>
      <c r="B183" s="852"/>
      <c r="C183" s="853"/>
      <c r="D183" s="916"/>
      <c r="E183" s="854"/>
      <c r="F183" s="854"/>
      <c r="G183" s="855"/>
      <c r="H183" s="855"/>
      <c r="I183" s="856"/>
      <c r="J183" s="858"/>
      <c r="K183" s="858"/>
      <c r="L183" s="859"/>
    </row>
    <row r="184" spans="1:12" s="860" customFormat="1">
      <c r="A184" s="851"/>
      <c r="B184" s="852"/>
      <c r="C184" s="853"/>
      <c r="D184" s="916"/>
      <c r="E184" s="854"/>
      <c r="F184" s="854"/>
      <c r="G184" s="855"/>
      <c r="H184" s="855"/>
      <c r="I184" s="856"/>
      <c r="J184" s="858"/>
      <c r="K184" s="858"/>
      <c r="L184" s="859"/>
    </row>
    <row r="185" spans="1:12" s="860" customFormat="1">
      <c r="A185" s="851"/>
      <c r="B185" s="852"/>
      <c r="C185" s="853"/>
      <c r="D185" s="916"/>
      <c r="E185" s="854"/>
      <c r="F185" s="854"/>
      <c r="G185" s="855"/>
      <c r="H185" s="855"/>
      <c r="I185" s="856"/>
      <c r="J185" s="858"/>
      <c r="K185" s="858"/>
      <c r="L185" s="859"/>
    </row>
    <row r="186" spans="1:12" s="860" customFormat="1">
      <c r="A186" s="851"/>
      <c r="B186" s="852"/>
      <c r="C186" s="853"/>
      <c r="D186" s="916"/>
      <c r="E186" s="854"/>
      <c r="F186" s="854"/>
      <c r="G186" s="855"/>
      <c r="H186" s="855"/>
      <c r="I186" s="856"/>
      <c r="J186" s="858"/>
      <c r="K186" s="858"/>
      <c r="L186" s="859"/>
    </row>
    <row r="187" spans="1:12" s="860" customFormat="1">
      <c r="A187" s="851"/>
      <c r="B187" s="852"/>
      <c r="C187" s="853"/>
      <c r="D187" s="916"/>
      <c r="E187" s="854"/>
      <c r="F187" s="854"/>
      <c r="G187" s="855"/>
      <c r="H187" s="855"/>
      <c r="I187" s="856"/>
      <c r="J187" s="858"/>
      <c r="K187" s="858"/>
      <c r="L187" s="859"/>
    </row>
    <row r="188" spans="1:12" s="860" customFormat="1">
      <c r="A188" s="851"/>
      <c r="B188" s="852"/>
      <c r="C188" s="853"/>
      <c r="D188" s="916"/>
      <c r="E188" s="854"/>
      <c r="F188" s="854"/>
      <c r="G188" s="855"/>
      <c r="H188" s="855"/>
      <c r="I188" s="856"/>
      <c r="J188" s="858"/>
      <c r="K188" s="858"/>
      <c r="L188" s="859"/>
    </row>
    <row r="189" spans="1:12" s="860" customFormat="1">
      <c r="A189" s="851"/>
      <c r="B189" s="852"/>
      <c r="C189" s="853"/>
      <c r="D189" s="916"/>
      <c r="E189" s="854"/>
      <c r="F189" s="854"/>
      <c r="G189" s="855"/>
      <c r="H189" s="855"/>
      <c r="I189" s="856"/>
      <c r="J189" s="858"/>
      <c r="K189" s="858"/>
      <c r="L189" s="859"/>
    </row>
    <row r="190" spans="1:12" s="860" customFormat="1">
      <c r="A190" s="851"/>
      <c r="B190" s="852"/>
      <c r="C190" s="853"/>
      <c r="D190" s="916"/>
      <c r="E190" s="854"/>
      <c r="F190" s="854"/>
      <c r="G190" s="855"/>
      <c r="H190" s="855"/>
      <c r="I190" s="856"/>
      <c r="J190" s="858"/>
      <c r="K190" s="858"/>
      <c r="L190" s="859"/>
    </row>
    <row r="191" spans="1:12" s="860" customFormat="1">
      <c r="A191" s="851"/>
      <c r="B191" s="852"/>
      <c r="C191" s="853"/>
      <c r="D191" s="916"/>
      <c r="E191" s="854"/>
      <c r="F191" s="854"/>
      <c r="G191" s="855"/>
      <c r="H191" s="855"/>
      <c r="I191" s="856"/>
      <c r="J191" s="858"/>
      <c r="K191" s="858"/>
      <c r="L191" s="859"/>
    </row>
    <row r="192" spans="1:12" s="860" customFormat="1">
      <c r="A192" s="851"/>
      <c r="B192" s="852"/>
      <c r="C192" s="853"/>
      <c r="D192" s="916"/>
      <c r="E192" s="854"/>
      <c r="F192" s="854"/>
      <c r="G192" s="855"/>
      <c r="H192" s="855"/>
      <c r="I192" s="856"/>
      <c r="J192" s="858"/>
      <c r="K192" s="858"/>
      <c r="L192" s="859"/>
    </row>
    <row r="193" spans="1:12" s="860" customFormat="1">
      <c r="A193" s="851"/>
      <c r="B193" s="852"/>
      <c r="C193" s="853"/>
      <c r="D193" s="916"/>
      <c r="E193" s="854"/>
      <c r="F193" s="854"/>
      <c r="G193" s="855"/>
      <c r="H193" s="855"/>
      <c r="I193" s="856"/>
      <c r="J193" s="858"/>
      <c r="K193" s="858"/>
      <c r="L193" s="859"/>
    </row>
    <row r="194" spans="1:12" s="860" customFormat="1">
      <c r="A194" s="851"/>
      <c r="B194" s="852"/>
      <c r="C194" s="853"/>
      <c r="D194" s="916"/>
      <c r="E194" s="854"/>
      <c r="F194" s="854"/>
      <c r="G194" s="855"/>
      <c r="H194" s="855"/>
      <c r="I194" s="856"/>
      <c r="J194" s="858"/>
      <c r="K194" s="858"/>
      <c r="L194" s="859"/>
    </row>
    <row r="195" spans="1:12" s="860" customFormat="1">
      <c r="A195" s="851"/>
      <c r="B195" s="852"/>
      <c r="C195" s="853"/>
      <c r="D195" s="916"/>
      <c r="E195" s="854"/>
      <c r="F195" s="854"/>
      <c r="G195" s="855"/>
      <c r="H195" s="855"/>
      <c r="I195" s="856"/>
      <c r="J195" s="858"/>
      <c r="K195" s="858"/>
      <c r="L195" s="859"/>
    </row>
    <row r="196" spans="1:12" s="860" customFormat="1">
      <c r="A196" s="851"/>
      <c r="B196" s="852"/>
      <c r="C196" s="853"/>
      <c r="D196" s="916"/>
      <c r="E196" s="854"/>
      <c r="F196" s="854"/>
      <c r="G196" s="855"/>
      <c r="H196" s="855"/>
      <c r="I196" s="856"/>
      <c r="J196" s="858"/>
      <c r="K196" s="858"/>
      <c r="L196" s="859"/>
    </row>
    <row r="197" spans="1:12" s="860" customFormat="1">
      <c r="A197" s="851"/>
      <c r="B197" s="852"/>
      <c r="C197" s="853"/>
      <c r="D197" s="916"/>
      <c r="E197" s="854"/>
      <c r="F197" s="854"/>
      <c r="G197" s="855"/>
      <c r="H197" s="855"/>
      <c r="I197" s="856"/>
      <c r="J197" s="858"/>
      <c r="K197" s="858"/>
      <c r="L197" s="859"/>
    </row>
    <row r="198" spans="1:12" s="860" customFormat="1">
      <c r="A198" s="851"/>
      <c r="B198" s="852"/>
      <c r="C198" s="853"/>
      <c r="D198" s="916"/>
      <c r="E198" s="854"/>
      <c r="F198" s="854"/>
      <c r="G198" s="855"/>
      <c r="H198" s="855"/>
      <c r="I198" s="856"/>
      <c r="J198" s="858"/>
      <c r="K198" s="858"/>
      <c r="L198" s="859"/>
    </row>
    <row r="199" spans="1:12" s="860" customFormat="1">
      <c r="A199" s="851"/>
      <c r="B199" s="852"/>
      <c r="C199" s="853"/>
      <c r="D199" s="916"/>
      <c r="E199" s="854"/>
      <c r="F199" s="854"/>
      <c r="G199" s="855"/>
      <c r="H199" s="855"/>
      <c r="I199" s="856"/>
      <c r="J199" s="858"/>
      <c r="K199" s="858"/>
      <c r="L199" s="859"/>
    </row>
    <row r="200" spans="1:12" s="860" customFormat="1">
      <c r="A200" s="851"/>
      <c r="B200" s="852"/>
      <c r="C200" s="853"/>
      <c r="D200" s="916"/>
      <c r="E200" s="854"/>
      <c r="F200" s="854"/>
      <c r="G200" s="855"/>
      <c r="H200" s="855"/>
      <c r="I200" s="856"/>
      <c r="J200" s="858"/>
      <c r="K200" s="858"/>
      <c r="L200" s="859"/>
    </row>
    <row r="201" spans="1:12" s="860" customFormat="1">
      <c r="A201" s="851"/>
      <c r="B201" s="852"/>
      <c r="C201" s="853"/>
      <c r="D201" s="916"/>
      <c r="E201" s="854"/>
      <c r="F201" s="854"/>
      <c r="G201" s="855"/>
      <c r="H201" s="855"/>
      <c r="I201" s="856"/>
      <c r="J201" s="858"/>
      <c r="K201" s="858"/>
      <c r="L201" s="859"/>
    </row>
    <row r="202" spans="1:12" s="860" customFormat="1">
      <c r="A202" s="851"/>
      <c r="B202" s="852"/>
      <c r="C202" s="853"/>
      <c r="D202" s="916"/>
      <c r="E202" s="854"/>
      <c r="F202" s="854"/>
      <c r="G202" s="855"/>
      <c r="H202" s="855"/>
      <c r="I202" s="856"/>
      <c r="J202" s="858"/>
      <c r="K202" s="858"/>
      <c r="L202" s="859"/>
    </row>
    <row r="203" spans="1:12" s="860" customFormat="1">
      <c r="A203" s="851"/>
      <c r="B203" s="852"/>
      <c r="C203" s="853"/>
      <c r="D203" s="916"/>
      <c r="E203" s="854"/>
      <c r="F203" s="854"/>
      <c r="G203" s="855"/>
      <c r="H203" s="855"/>
      <c r="I203" s="856"/>
      <c r="J203" s="858"/>
      <c r="K203" s="858"/>
      <c r="L203" s="859"/>
    </row>
    <row r="204" spans="1:12" s="860" customFormat="1">
      <c r="A204" s="851"/>
      <c r="B204" s="852"/>
      <c r="C204" s="853"/>
      <c r="D204" s="916"/>
      <c r="E204" s="854"/>
      <c r="F204" s="854"/>
      <c r="G204" s="855"/>
      <c r="H204" s="855"/>
      <c r="I204" s="856"/>
      <c r="J204" s="858"/>
      <c r="K204" s="858"/>
      <c r="L204" s="859"/>
    </row>
    <row r="205" spans="1:12" s="860" customFormat="1">
      <c r="A205" s="851"/>
      <c r="B205" s="852"/>
      <c r="C205" s="853"/>
      <c r="D205" s="916"/>
      <c r="E205" s="854"/>
      <c r="F205" s="854"/>
      <c r="G205" s="855"/>
      <c r="H205" s="855"/>
      <c r="I205" s="856"/>
      <c r="J205" s="858"/>
      <c r="K205" s="858"/>
      <c r="L205" s="859"/>
    </row>
    <row r="206" spans="1:12" s="860" customFormat="1">
      <c r="A206" s="851"/>
      <c r="B206" s="852"/>
      <c r="C206" s="853"/>
      <c r="D206" s="916"/>
      <c r="E206" s="854"/>
      <c r="F206" s="854"/>
      <c r="G206" s="855"/>
      <c r="H206" s="855"/>
      <c r="I206" s="856"/>
      <c r="J206" s="858"/>
      <c r="K206" s="858"/>
      <c r="L206" s="859"/>
    </row>
    <row r="207" spans="1:12" s="860" customFormat="1">
      <c r="A207" s="851"/>
      <c r="B207" s="852"/>
      <c r="C207" s="853"/>
      <c r="D207" s="916"/>
      <c r="E207" s="854"/>
      <c r="F207" s="854"/>
      <c r="G207" s="855"/>
      <c r="H207" s="855"/>
      <c r="I207" s="856"/>
      <c r="J207" s="858"/>
      <c r="K207" s="858"/>
      <c r="L207" s="859"/>
    </row>
    <row r="208" spans="1:12" s="860" customFormat="1">
      <c r="A208" s="851"/>
      <c r="B208" s="852"/>
      <c r="C208" s="853"/>
      <c r="D208" s="916"/>
      <c r="E208" s="854"/>
      <c r="F208" s="854"/>
      <c r="G208" s="855"/>
      <c r="H208" s="855"/>
      <c r="I208" s="856"/>
      <c r="J208" s="858"/>
      <c r="K208" s="858"/>
      <c r="L208" s="859"/>
    </row>
    <row r="209" spans="1:12" s="860" customFormat="1">
      <c r="A209" s="851"/>
      <c r="B209" s="852"/>
      <c r="C209" s="853"/>
      <c r="D209" s="916"/>
      <c r="E209" s="854"/>
      <c r="F209" s="854"/>
      <c r="G209" s="855"/>
      <c r="H209" s="855"/>
      <c r="I209" s="856"/>
      <c r="J209" s="858"/>
      <c r="K209" s="858"/>
      <c r="L209" s="859"/>
    </row>
    <row r="210" spans="1:12" s="860" customFormat="1">
      <c r="A210" s="851"/>
      <c r="B210" s="852"/>
      <c r="C210" s="853"/>
      <c r="D210" s="916"/>
      <c r="E210" s="854"/>
      <c r="F210" s="854"/>
      <c r="G210" s="855"/>
      <c r="H210" s="855"/>
      <c r="I210" s="856"/>
      <c r="J210" s="858"/>
      <c r="K210" s="858"/>
      <c r="L210" s="859"/>
    </row>
    <row r="211" spans="1:12" s="860" customFormat="1">
      <c r="A211" s="851"/>
      <c r="B211" s="852"/>
      <c r="C211" s="853"/>
      <c r="D211" s="916"/>
      <c r="E211" s="854"/>
      <c r="F211" s="854"/>
      <c r="G211" s="855"/>
      <c r="H211" s="855"/>
      <c r="I211" s="856"/>
      <c r="J211" s="858"/>
      <c r="K211" s="858"/>
      <c r="L211" s="859"/>
    </row>
    <row r="212" spans="1:12" s="860" customFormat="1">
      <c r="A212" s="851"/>
      <c r="B212" s="852"/>
      <c r="C212" s="853"/>
      <c r="D212" s="916"/>
      <c r="E212" s="854"/>
      <c r="F212" s="854"/>
      <c r="G212" s="855"/>
      <c r="H212" s="855"/>
      <c r="I212" s="856"/>
      <c r="J212" s="858"/>
      <c r="K212" s="858"/>
      <c r="L212" s="859"/>
    </row>
    <row r="213" spans="1:12" s="860" customFormat="1">
      <c r="A213" s="851"/>
      <c r="B213" s="852"/>
      <c r="C213" s="853"/>
      <c r="D213" s="916"/>
      <c r="E213" s="854"/>
      <c r="F213" s="854"/>
      <c r="G213" s="855"/>
      <c r="H213" s="855"/>
      <c r="I213" s="856"/>
      <c r="J213" s="858"/>
      <c r="K213" s="858"/>
      <c r="L213" s="859"/>
    </row>
    <row r="214" spans="1:12" s="860" customFormat="1">
      <c r="A214" s="851"/>
      <c r="B214" s="852"/>
      <c r="C214" s="853"/>
      <c r="D214" s="916"/>
      <c r="E214" s="854"/>
      <c r="F214" s="854"/>
      <c r="G214" s="855"/>
      <c r="H214" s="855"/>
      <c r="I214" s="856"/>
      <c r="J214" s="858"/>
      <c r="K214" s="858"/>
      <c r="L214" s="859"/>
    </row>
    <row r="215" spans="1:12" s="860" customFormat="1">
      <c r="A215" s="851"/>
      <c r="B215" s="852"/>
      <c r="C215" s="853"/>
      <c r="D215" s="916"/>
      <c r="E215" s="854"/>
      <c r="F215" s="854"/>
      <c r="G215" s="855"/>
      <c r="H215" s="855"/>
      <c r="I215" s="856"/>
      <c r="J215" s="858"/>
      <c r="K215" s="858"/>
      <c r="L215" s="859"/>
    </row>
    <row r="216" spans="1:12" s="860" customFormat="1">
      <c r="A216" s="851"/>
      <c r="B216" s="852"/>
      <c r="C216" s="853"/>
      <c r="D216" s="916"/>
      <c r="E216" s="854"/>
      <c r="F216" s="854"/>
      <c r="G216" s="855"/>
      <c r="H216" s="855"/>
      <c r="I216" s="856"/>
      <c r="J216" s="858"/>
      <c r="K216" s="858"/>
      <c r="L216" s="859"/>
    </row>
    <row r="217" spans="1:12" s="860" customFormat="1">
      <c r="A217" s="851"/>
      <c r="B217" s="852"/>
      <c r="C217" s="853"/>
      <c r="D217" s="916"/>
      <c r="E217" s="854"/>
      <c r="F217" s="854"/>
      <c r="G217" s="855"/>
      <c r="H217" s="855"/>
      <c r="I217" s="856"/>
      <c r="J217" s="858"/>
      <c r="K217" s="858"/>
      <c r="L217" s="859"/>
    </row>
    <row r="218" spans="1:12" s="860" customFormat="1">
      <c r="A218" s="851"/>
      <c r="B218" s="852"/>
      <c r="C218" s="853"/>
      <c r="D218" s="916"/>
      <c r="E218" s="854"/>
      <c r="F218" s="854"/>
      <c r="G218" s="855"/>
      <c r="H218" s="855"/>
      <c r="I218" s="856"/>
      <c r="J218" s="858"/>
      <c r="K218" s="858"/>
      <c r="L218" s="859"/>
    </row>
    <row r="219" spans="1:12" s="860" customFormat="1">
      <c r="A219" s="851"/>
      <c r="B219" s="852"/>
      <c r="C219" s="853"/>
      <c r="D219" s="916"/>
      <c r="E219" s="854"/>
      <c r="F219" s="854"/>
      <c r="G219" s="855"/>
      <c r="H219" s="855"/>
      <c r="I219" s="856"/>
      <c r="J219" s="858"/>
      <c r="K219" s="858"/>
      <c r="L219" s="859"/>
    </row>
    <row r="220" spans="1:12" s="860" customFormat="1">
      <c r="A220" s="851"/>
      <c r="B220" s="852"/>
      <c r="C220" s="853"/>
      <c r="D220" s="916"/>
      <c r="E220" s="854"/>
      <c r="F220" s="854"/>
      <c r="G220" s="855"/>
      <c r="H220" s="855"/>
      <c r="I220" s="856"/>
      <c r="J220" s="858"/>
      <c r="K220" s="858"/>
      <c r="L220" s="859"/>
    </row>
    <row r="221" spans="1:12" s="860" customFormat="1">
      <c r="A221" s="851"/>
      <c r="B221" s="852"/>
      <c r="C221" s="853"/>
      <c r="D221" s="916"/>
      <c r="E221" s="854"/>
      <c r="F221" s="854"/>
      <c r="G221" s="855"/>
      <c r="H221" s="855"/>
      <c r="I221" s="856"/>
      <c r="J221" s="858"/>
      <c r="K221" s="858"/>
      <c r="L221" s="859"/>
    </row>
    <row r="222" spans="1:12" s="860" customFormat="1">
      <c r="A222" s="851"/>
      <c r="B222" s="852"/>
      <c r="C222" s="853"/>
      <c r="D222" s="916"/>
      <c r="E222" s="854"/>
      <c r="F222" s="854"/>
      <c r="G222" s="855"/>
      <c r="H222" s="855"/>
      <c r="I222" s="856"/>
      <c r="J222" s="858"/>
      <c r="K222" s="858"/>
      <c r="L222" s="859"/>
    </row>
    <row r="223" spans="1:12" s="860" customFormat="1">
      <c r="A223" s="851"/>
      <c r="B223" s="852"/>
      <c r="C223" s="853"/>
      <c r="D223" s="916"/>
      <c r="E223" s="854"/>
      <c r="F223" s="854"/>
      <c r="G223" s="855"/>
      <c r="H223" s="855"/>
      <c r="I223" s="856"/>
      <c r="J223" s="858"/>
      <c r="K223" s="858"/>
      <c r="L223" s="859"/>
    </row>
    <row r="224" spans="1:12" s="860" customFormat="1">
      <c r="A224" s="851"/>
      <c r="B224" s="852"/>
      <c r="C224" s="853"/>
      <c r="D224" s="916"/>
      <c r="E224" s="854"/>
      <c r="F224" s="854"/>
      <c r="G224" s="855"/>
      <c r="H224" s="855"/>
      <c r="I224" s="856"/>
      <c r="J224" s="858"/>
      <c r="K224" s="858"/>
      <c r="L224" s="859"/>
    </row>
    <row r="225" spans="1:12" s="860" customFormat="1">
      <c r="A225" s="851"/>
      <c r="B225" s="852"/>
      <c r="C225" s="853"/>
      <c r="D225" s="916"/>
      <c r="E225" s="854"/>
      <c r="F225" s="854"/>
      <c r="G225" s="855"/>
      <c r="H225" s="855"/>
      <c r="I225" s="856"/>
      <c r="J225" s="858"/>
      <c r="K225" s="858"/>
      <c r="L225" s="859"/>
    </row>
    <row r="226" spans="1:12" s="860" customFormat="1">
      <c r="A226" s="851"/>
      <c r="B226" s="852"/>
      <c r="C226" s="853"/>
      <c r="D226" s="916"/>
      <c r="E226" s="854"/>
      <c r="F226" s="854"/>
      <c r="G226" s="855"/>
      <c r="H226" s="855"/>
      <c r="I226" s="856"/>
      <c r="J226" s="858"/>
      <c r="K226" s="858"/>
      <c r="L226" s="859"/>
    </row>
    <row r="227" spans="1:12" s="860" customFormat="1">
      <c r="A227" s="851"/>
      <c r="B227" s="852"/>
      <c r="C227" s="853"/>
      <c r="D227" s="916"/>
      <c r="E227" s="854"/>
      <c r="F227" s="854"/>
      <c r="G227" s="855"/>
      <c r="H227" s="855"/>
      <c r="I227" s="856"/>
      <c r="J227" s="858"/>
      <c r="K227" s="858"/>
      <c r="L227" s="859"/>
    </row>
    <row r="228" spans="1:12" s="860" customFormat="1">
      <c r="A228" s="851"/>
      <c r="B228" s="852"/>
      <c r="C228" s="853"/>
      <c r="D228" s="916"/>
      <c r="E228" s="854"/>
      <c r="F228" s="854"/>
      <c r="G228" s="855"/>
      <c r="H228" s="855"/>
      <c r="I228" s="856"/>
      <c r="J228" s="858"/>
      <c r="K228" s="858"/>
      <c r="L228" s="859"/>
    </row>
    <row r="229" spans="1:12" s="860" customFormat="1">
      <c r="A229" s="851"/>
      <c r="B229" s="852"/>
      <c r="C229" s="853"/>
      <c r="D229" s="916"/>
      <c r="E229" s="854"/>
      <c r="F229" s="854"/>
      <c r="G229" s="855"/>
      <c r="H229" s="855"/>
      <c r="I229" s="856"/>
      <c r="J229" s="858"/>
      <c r="K229" s="858"/>
      <c r="L229" s="859"/>
    </row>
    <row r="230" spans="1:12" s="860" customFormat="1">
      <c r="A230" s="851"/>
      <c r="B230" s="852"/>
      <c r="C230" s="853"/>
      <c r="D230" s="916"/>
      <c r="E230" s="854"/>
      <c r="F230" s="854"/>
      <c r="G230" s="855"/>
      <c r="H230" s="855"/>
      <c r="I230" s="856"/>
      <c r="J230" s="858"/>
      <c r="K230" s="858"/>
      <c r="L230" s="859"/>
    </row>
    <row r="231" spans="1:12" s="860" customFormat="1">
      <c r="A231" s="851"/>
      <c r="B231" s="852"/>
      <c r="C231" s="853"/>
      <c r="D231" s="916"/>
      <c r="E231" s="854"/>
      <c r="F231" s="854"/>
      <c r="G231" s="855"/>
      <c r="H231" s="855"/>
      <c r="I231" s="856"/>
      <c r="J231" s="858"/>
      <c r="K231" s="858"/>
      <c r="L231" s="859"/>
    </row>
    <row r="232" spans="1:12" s="860" customFormat="1">
      <c r="A232" s="851"/>
      <c r="B232" s="852"/>
      <c r="C232" s="853"/>
      <c r="D232" s="916"/>
      <c r="E232" s="854"/>
      <c r="F232" s="854"/>
      <c r="G232" s="855"/>
      <c r="H232" s="855"/>
      <c r="I232" s="856"/>
      <c r="J232" s="858"/>
      <c r="K232" s="858"/>
      <c r="L232" s="859"/>
    </row>
    <row r="233" spans="1:12" s="860" customFormat="1">
      <c r="A233" s="851"/>
      <c r="B233" s="852"/>
      <c r="C233" s="853"/>
      <c r="D233" s="916"/>
      <c r="E233" s="854"/>
      <c r="F233" s="854"/>
      <c r="G233" s="855"/>
      <c r="H233" s="855"/>
      <c r="I233" s="856"/>
      <c r="J233" s="858"/>
      <c r="K233" s="858"/>
      <c r="L233" s="859"/>
    </row>
    <row r="234" spans="1:12" s="860" customFormat="1">
      <c r="A234" s="851"/>
      <c r="B234" s="852"/>
      <c r="C234" s="853"/>
      <c r="D234" s="916"/>
      <c r="E234" s="854"/>
      <c r="F234" s="854"/>
      <c r="G234" s="855"/>
      <c r="H234" s="855"/>
      <c r="I234" s="856"/>
      <c r="J234" s="858"/>
      <c r="K234" s="858"/>
      <c r="L234" s="859"/>
    </row>
    <row r="235" spans="1:12" s="860" customFormat="1">
      <c r="A235" s="851"/>
      <c r="B235" s="852"/>
      <c r="C235" s="853"/>
      <c r="D235" s="916"/>
      <c r="E235" s="854"/>
      <c r="F235" s="854"/>
      <c r="G235" s="855"/>
      <c r="H235" s="855"/>
      <c r="I235" s="856"/>
      <c r="J235" s="858"/>
      <c r="K235" s="858"/>
      <c r="L235" s="859"/>
    </row>
    <row r="236" spans="1:12" s="860" customFormat="1">
      <c r="A236" s="851"/>
      <c r="B236" s="852"/>
      <c r="C236" s="853"/>
      <c r="D236" s="916"/>
      <c r="E236" s="854"/>
      <c r="F236" s="854"/>
      <c r="G236" s="855"/>
      <c r="H236" s="855"/>
      <c r="I236" s="856"/>
      <c r="J236" s="858"/>
      <c r="K236" s="858"/>
      <c r="L236" s="859"/>
    </row>
    <row r="237" spans="1:12" s="860" customFormat="1">
      <c r="A237" s="851"/>
      <c r="B237" s="852"/>
      <c r="C237" s="853"/>
      <c r="D237" s="916"/>
      <c r="E237" s="854"/>
      <c r="F237" s="854"/>
      <c r="G237" s="855"/>
      <c r="H237" s="855"/>
      <c r="I237" s="856"/>
      <c r="J237" s="858"/>
      <c r="K237" s="858"/>
      <c r="L237" s="859"/>
    </row>
    <row r="238" spans="1:12" s="860" customFormat="1">
      <c r="A238" s="851"/>
      <c r="B238" s="852"/>
      <c r="C238" s="853"/>
      <c r="D238" s="916"/>
      <c r="E238" s="854"/>
      <c r="F238" s="854"/>
      <c r="G238" s="855"/>
      <c r="H238" s="855"/>
      <c r="I238" s="856"/>
      <c r="J238" s="858"/>
      <c r="K238" s="858"/>
      <c r="L238" s="859"/>
    </row>
    <row r="239" spans="1:12" s="860" customFormat="1">
      <c r="A239" s="851"/>
      <c r="B239" s="852"/>
      <c r="C239" s="853"/>
      <c r="D239" s="916"/>
      <c r="E239" s="854"/>
      <c r="F239" s="854"/>
      <c r="G239" s="855"/>
      <c r="H239" s="855"/>
      <c r="I239" s="856"/>
      <c r="J239" s="858"/>
      <c r="K239" s="858"/>
      <c r="L239" s="859"/>
    </row>
    <row r="240" spans="1:12" s="860" customFormat="1">
      <c r="A240" s="851"/>
      <c r="B240" s="852"/>
      <c r="C240" s="853"/>
      <c r="D240" s="916"/>
      <c r="E240" s="854"/>
      <c r="F240" s="854"/>
      <c r="G240" s="855"/>
      <c r="H240" s="855"/>
      <c r="I240" s="856"/>
      <c r="J240" s="858"/>
      <c r="K240" s="858"/>
      <c r="L240" s="859"/>
    </row>
    <row r="241" spans="1:12" s="860" customFormat="1">
      <c r="A241" s="851"/>
      <c r="B241" s="852"/>
      <c r="C241" s="853"/>
      <c r="D241" s="916"/>
      <c r="E241" s="854"/>
      <c r="F241" s="854"/>
      <c r="G241" s="855"/>
      <c r="H241" s="855"/>
      <c r="I241" s="856"/>
      <c r="J241" s="858"/>
      <c r="K241" s="858"/>
      <c r="L241" s="859"/>
    </row>
    <row r="242" spans="1:12" s="860" customFormat="1">
      <c r="A242" s="851"/>
      <c r="B242" s="852"/>
      <c r="C242" s="853"/>
      <c r="D242" s="916"/>
      <c r="E242" s="854"/>
      <c r="F242" s="854"/>
      <c r="G242" s="855"/>
      <c r="H242" s="855"/>
      <c r="I242" s="856"/>
      <c r="J242" s="858"/>
      <c r="K242" s="858"/>
      <c r="L242" s="859"/>
    </row>
    <row r="243" spans="1:12" s="860" customFormat="1">
      <c r="A243" s="851"/>
      <c r="B243" s="852"/>
      <c r="C243" s="853"/>
      <c r="D243" s="916"/>
      <c r="E243" s="854"/>
      <c r="F243" s="854"/>
      <c r="G243" s="855"/>
      <c r="H243" s="855"/>
      <c r="I243" s="856"/>
      <c r="J243" s="858"/>
      <c r="K243" s="858"/>
      <c r="L243" s="859"/>
    </row>
    <row r="244" spans="1:12" s="860" customFormat="1">
      <c r="A244" s="851"/>
      <c r="B244" s="852"/>
      <c r="C244" s="853"/>
      <c r="D244" s="916"/>
      <c r="E244" s="854"/>
      <c r="F244" s="854"/>
      <c r="G244" s="855"/>
      <c r="H244" s="855"/>
      <c r="I244" s="856"/>
      <c r="J244" s="858"/>
      <c r="K244" s="858"/>
      <c r="L244" s="859"/>
    </row>
    <row r="245" spans="1:12" s="860" customFormat="1">
      <c r="A245" s="851"/>
      <c r="B245" s="852"/>
      <c r="C245" s="853"/>
      <c r="D245" s="916"/>
      <c r="E245" s="854"/>
      <c r="F245" s="854"/>
      <c r="G245" s="855"/>
      <c r="H245" s="855"/>
      <c r="I245" s="856"/>
      <c r="J245" s="858"/>
      <c r="K245" s="858"/>
      <c r="L245" s="859"/>
    </row>
    <row r="246" spans="1:12" s="860" customFormat="1">
      <c r="A246" s="851"/>
      <c r="B246" s="852"/>
      <c r="C246" s="853"/>
      <c r="D246" s="916"/>
      <c r="E246" s="854"/>
      <c r="F246" s="854"/>
      <c r="G246" s="855"/>
      <c r="H246" s="855"/>
      <c r="I246" s="856"/>
      <c r="J246" s="858"/>
      <c r="K246" s="858"/>
      <c r="L246" s="859"/>
    </row>
    <row r="247" spans="1:12" s="860" customFormat="1">
      <c r="A247" s="851"/>
      <c r="B247" s="852"/>
      <c r="C247" s="853"/>
      <c r="D247" s="916"/>
      <c r="E247" s="854"/>
      <c r="F247" s="854"/>
      <c r="G247" s="855"/>
      <c r="H247" s="855"/>
      <c r="I247" s="856"/>
      <c r="J247" s="858"/>
      <c r="K247" s="858"/>
      <c r="L247" s="859"/>
    </row>
    <row r="248" spans="1:12" s="860" customFormat="1">
      <c r="A248" s="851"/>
      <c r="B248" s="852"/>
      <c r="C248" s="853"/>
      <c r="D248" s="916"/>
      <c r="E248" s="854"/>
      <c r="F248" s="854"/>
      <c r="G248" s="855"/>
      <c r="H248" s="855"/>
      <c r="I248" s="856"/>
      <c r="J248" s="858"/>
      <c r="K248" s="858"/>
      <c r="L248" s="859"/>
    </row>
    <row r="249" spans="1:12" s="860" customFormat="1">
      <c r="A249" s="851"/>
      <c r="B249" s="852"/>
      <c r="C249" s="853"/>
      <c r="D249" s="916"/>
      <c r="E249" s="854"/>
      <c r="F249" s="854"/>
      <c r="G249" s="855"/>
      <c r="H249" s="855"/>
      <c r="I249" s="856"/>
      <c r="J249" s="858"/>
      <c r="K249" s="858"/>
      <c r="L249" s="859"/>
    </row>
    <row r="250" spans="1:12" s="860" customFormat="1">
      <c r="A250" s="851"/>
      <c r="B250" s="852"/>
      <c r="C250" s="853"/>
      <c r="D250" s="916"/>
      <c r="E250" s="854"/>
      <c r="F250" s="854"/>
      <c r="G250" s="855"/>
      <c r="H250" s="855"/>
      <c r="I250" s="856"/>
      <c r="J250" s="858"/>
      <c r="K250" s="858"/>
      <c r="L250" s="859"/>
    </row>
    <row r="251" spans="1:12" s="860" customFormat="1">
      <c r="A251" s="851"/>
      <c r="B251" s="852"/>
      <c r="C251" s="853"/>
      <c r="D251" s="916"/>
      <c r="E251" s="854"/>
      <c r="F251" s="854"/>
      <c r="G251" s="855"/>
      <c r="H251" s="855"/>
      <c r="I251" s="856"/>
      <c r="J251" s="858"/>
      <c r="K251" s="858"/>
      <c r="L251" s="859"/>
    </row>
    <row r="252" spans="1:12" s="860" customFormat="1">
      <c r="A252" s="851"/>
      <c r="B252" s="852"/>
      <c r="C252" s="853"/>
      <c r="D252" s="916"/>
      <c r="E252" s="854"/>
      <c r="F252" s="854"/>
      <c r="G252" s="855"/>
      <c r="H252" s="855"/>
      <c r="I252" s="856"/>
      <c r="J252" s="858"/>
      <c r="K252" s="858"/>
      <c r="L252" s="859"/>
    </row>
    <row r="253" spans="1:12" s="860" customFormat="1">
      <c r="A253" s="851"/>
      <c r="B253" s="852"/>
      <c r="C253" s="853"/>
      <c r="D253" s="916"/>
      <c r="E253" s="854"/>
      <c r="F253" s="854"/>
      <c r="G253" s="855"/>
      <c r="H253" s="855"/>
      <c r="I253" s="856"/>
      <c r="J253" s="858"/>
      <c r="K253" s="858"/>
      <c r="L253" s="859"/>
    </row>
    <row r="254" spans="1:12" s="860" customFormat="1">
      <c r="A254" s="851"/>
      <c r="B254" s="852"/>
      <c r="C254" s="853"/>
      <c r="D254" s="916"/>
      <c r="E254" s="854"/>
      <c r="F254" s="854"/>
      <c r="G254" s="855"/>
      <c r="H254" s="855"/>
      <c r="I254" s="856"/>
      <c r="J254" s="858"/>
      <c r="K254" s="858"/>
      <c r="L254" s="859"/>
    </row>
    <row r="255" spans="1:12" s="860" customFormat="1">
      <c r="A255" s="851"/>
      <c r="B255" s="852"/>
      <c r="C255" s="853"/>
      <c r="D255" s="916"/>
      <c r="E255" s="854"/>
      <c r="F255" s="854"/>
      <c r="G255" s="855"/>
      <c r="H255" s="855"/>
      <c r="I255" s="856"/>
      <c r="J255" s="858"/>
      <c r="K255" s="858"/>
      <c r="L255" s="859"/>
    </row>
    <row r="256" spans="1:12" s="860" customFormat="1">
      <c r="A256" s="851"/>
      <c r="B256" s="852"/>
      <c r="C256" s="853"/>
      <c r="D256" s="916"/>
      <c r="E256" s="854"/>
      <c r="F256" s="854"/>
      <c r="G256" s="855"/>
      <c r="H256" s="855"/>
      <c r="I256" s="856"/>
      <c r="J256" s="858"/>
      <c r="K256" s="858"/>
      <c r="L256" s="859"/>
    </row>
    <row r="257" spans="1:12" s="860" customFormat="1">
      <c r="A257" s="851"/>
      <c r="B257" s="852"/>
      <c r="C257" s="853"/>
      <c r="D257" s="916"/>
      <c r="E257" s="854"/>
      <c r="F257" s="854"/>
      <c r="G257" s="855"/>
      <c r="H257" s="855"/>
      <c r="I257" s="856"/>
      <c r="J257" s="858"/>
      <c r="K257" s="858"/>
      <c r="L257" s="859"/>
    </row>
    <row r="258" spans="1:12" s="860" customFormat="1">
      <c r="A258" s="851"/>
      <c r="B258" s="852"/>
      <c r="C258" s="853"/>
      <c r="D258" s="916"/>
      <c r="E258" s="854"/>
      <c r="F258" s="854"/>
      <c r="G258" s="855"/>
      <c r="H258" s="855"/>
      <c r="I258" s="856"/>
      <c r="J258" s="858"/>
      <c r="K258" s="858"/>
      <c r="L258" s="859"/>
    </row>
    <row r="259" spans="1:12" s="860" customFormat="1">
      <c r="A259" s="851"/>
      <c r="B259" s="852"/>
      <c r="C259" s="853"/>
      <c r="D259" s="916"/>
      <c r="E259" s="854"/>
      <c r="F259" s="854"/>
      <c r="G259" s="855"/>
      <c r="H259" s="855"/>
      <c r="I259" s="856"/>
      <c r="J259" s="858"/>
      <c r="K259" s="858"/>
      <c r="L259" s="859"/>
    </row>
    <row r="260" spans="1:12" s="860" customFormat="1">
      <c r="A260" s="851"/>
      <c r="B260" s="852"/>
      <c r="C260" s="853"/>
      <c r="D260" s="916"/>
      <c r="E260" s="854"/>
      <c r="F260" s="854"/>
      <c r="G260" s="855"/>
      <c r="H260" s="855"/>
      <c r="I260" s="856"/>
      <c r="J260" s="858"/>
      <c r="K260" s="858"/>
      <c r="L260" s="859"/>
    </row>
    <row r="261" spans="1:12" s="860" customFormat="1">
      <c r="A261" s="851"/>
      <c r="B261" s="852"/>
      <c r="C261" s="853"/>
      <c r="D261" s="916"/>
      <c r="E261" s="854"/>
      <c r="F261" s="854"/>
      <c r="G261" s="855"/>
      <c r="H261" s="855"/>
      <c r="I261" s="856"/>
      <c r="J261" s="858"/>
      <c r="K261" s="858"/>
      <c r="L261" s="859"/>
    </row>
    <row r="262" spans="1:12" s="860" customFormat="1">
      <c r="A262" s="851"/>
      <c r="B262" s="852"/>
      <c r="C262" s="853"/>
      <c r="D262" s="916"/>
      <c r="E262" s="854"/>
      <c r="F262" s="854"/>
      <c r="G262" s="855"/>
      <c r="H262" s="855"/>
      <c r="I262" s="856"/>
      <c r="J262" s="858"/>
      <c r="K262" s="858"/>
      <c r="L262" s="859"/>
    </row>
    <row r="263" spans="1:12" s="860" customFormat="1">
      <c r="A263" s="851"/>
      <c r="B263" s="852"/>
      <c r="C263" s="853"/>
      <c r="D263" s="916"/>
      <c r="E263" s="854"/>
      <c r="F263" s="854"/>
      <c r="G263" s="855"/>
      <c r="H263" s="855"/>
      <c r="I263" s="856"/>
      <c r="J263" s="858"/>
      <c r="K263" s="858"/>
      <c r="L263" s="859"/>
    </row>
    <row r="264" spans="1:12" s="860" customFormat="1">
      <c r="A264" s="851"/>
      <c r="B264" s="852"/>
      <c r="C264" s="853"/>
      <c r="D264" s="916"/>
      <c r="E264" s="854"/>
      <c r="F264" s="854"/>
      <c r="G264" s="855"/>
      <c r="H264" s="855"/>
      <c r="I264" s="856"/>
      <c r="J264" s="858"/>
      <c r="K264" s="858"/>
      <c r="L264" s="859"/>
    </row>
    <row r="265" spans="1:12" s="860" customFormat="1">
      <c r="A265" s="851"/>
      <c r="B265" s="852"/>
      <c r="C265" s="853"/>
      <c r="D265" s="916"/>
      <c r="E265" s="854"/>
      <c r="F265" s="854"/>
      <c r="G265" s="855"/>
      <c r="H265" s="855"/>
      <c r="I265" s="856"/>
      <c r="J265" s="858"/>
      <c r="K265" s="858"/>
      <c r="L265" s="859"/>
    </row>
  </sheetData>
  <mergeCells count="20">
    <mergeCell ref="B96:K96"/>
    <mergeCell ref="M53:N53"/>
    <mergeCell ref="M43:N43"/>
    <mergeCell ref="M74:N74"/>
    <mergeCell ref="M75:N75"/>
    <mergeCell ref="A81:D81"/>
    <mergeCell ref="B89:D89"/>
    <mergeCell ref="E89:G89"/>
    <mergeCell ref="H89:J89"/>
    <mergeCell ref="A4:L4"/>
    <mergeCell ref="A6:A8"/>
    <mergeCell ref="B6:B8"/>
    <mergeCell ref="C6:C8"/>
    <mergeCell ref="D6:D8"/>
    <mergeCell ref="E6:H6"/>
    <mergeCell ref="I6:L6"/>
    <mergeCell ref="E7:E8"/>
    <mergeCell ref="F7:H7"/>
    <mergeCell ref="I7:I8"/>
    <mergeCell ref="J7:L7"/>
  </mergeCells>
  <pageMargins left="0.23622047244094491" right="0.23622047244094491" top="0.74803149606299213" bottom="0.74803149606299213" header="0.31496062992125984" footer="0.31496062992125984"/>
  <pageSetup paperSize="9" scale="70" fitToHeight="0" orientation="landscape" r:id="rId1"/>
</worksheet>
</file>

<file path=xl/worksheets/sheet2.xml><?xml version="1.0" encoding="utf-8"?>
<worksheet xmlns="http://schemas.openxmlformats.org/spreadsheetml/2006/main" xmlns:r="http://schemas.openxmlformats.org/officeDocument/2006/relationships">
  <dimension ref="A2:M483"/>
  <sheetViews>
    <sheetView zoomScale="85" zoomScaleNormal="85" workbookViewId="0">
      <selection sqref="A1:S1"/>
    </sheetView>
  </sheetViews>
  <sheetFormatPr defaultRowHeight="15.75"/>
  <cols>
    <col min="1" max="1" width="6.42578125" style="17" customWidth="1"/>
    <col min="2" max="2" width="36.7109375" style="7" customWidth="1"/>
    <col min="3" max="3" width="26.140625" style="7" customWidth="1"/>
    <col min="4" max="4" width="14" style="25" customWidth="1"/>
    <col min="5" max="5" width="14.140625" style="61" customWidth="1"/>
    <col min="6" max="6" width="13" style="61" customWidth="1"/>
    <col min="7" max="7" width="12.42578125" style="61" customWidth="1"/>
    <col min="8" max="8" width="14" style="61" customWidth="1"/>
    <col min="9" max="9" width="12.42578125" style="112" customWidth="1"/>
    <col min="10" max="10" width="13" style="112" customWidth="1"/>
    <col min="11" max="11" width="11.85546875" style="112" customWidth="1"/>
    <col min="12" max="12" width="13" style="61" customWidth="1"/>
    <col min="13" max="13" width="11.140625" style="7" customWidth="1"/>
    <col min="14" max="16384" width="9.140625" style="7"/>
  </cols>
  <sheetData>
    <row r="2" spans="1:12" ht="15.75" customHeight="1">
      <c r="A2" s="990" t="s">
        <v>186</v>
      </c>
      <c r="B2" s="990"/>
      <c r="C2" s="990"/>
      <c r="D2" s="990"/>
      <c r="E2" s="990"/>
      <c r="F2" s="990"/>
      <c r="G2" s="990"/>
      <c r="H2" s="990"/>
      <c r="I2" s="990"/>
      <c r="J2" s="990"/>
      <c r="K2" s="990"/>
      <c r="L2" s="990"/>
    </row>
    <row r="4" spans="1:12" s="12" customFormat="1" ht="25.5" customHeight="1">
      <c r="A4" s="991" t="s">
        <v>26</v>
      </c>
      <c r="B4" s="992" t="s">
        <v>37</v>
      </c>
      <c r="C4" s="992" t="s">
        <v>38</v>
      </c>
      <c r="D4" s="992" t="s">
        <v>39</v>
      </c>
      <c r="E4" s="993" t="s">
        <v>45</v>
      </c>
      <c r="F4" s="993"/>
      <c r="G4" s="993"/>
      <c r="H4" s="993"/>
      <c r="I4" s="993" t="s">
        <v>40</v>
      </c>
      <c r="J4" s="993"/>
      <c r="K4" s="993"/>
      <c r="L4" s="993"/>
    </row>
    <row r="5" spans="1:12" s="12" customFormat="1" ht="15.75" customHeight="1">
      <c r="A5" s="991"/>
      <c r="B5" s="992"/>
      <c r="C5" s="992"/>
      <c r="D5" s="992"/>
      <c r="E5" s="989" t="s">
        <v>41</v>
      </c>
      <c r="F5" s="989" t="s">
        <v>42</v>
      </c>
      <c r="G5" s="989"/>
      <c r="H5" s="989"/>
      <c r="I5" s="994" t="s">
        <v>41</v>
      </c>
      <c r="J5" s="989" t="s">
        <v>42</v>
      </c>
      <c r="K5" s="989"/>
      <c r="L5" s="989"/>
    </row>
    <row r="6" spans="1:12" s="12" customFormat="1" ht="33" customHeight="1">
      <c r="A6" s="991"/>
      <c r="B6" s="992"/>
      <c r="C6" s="992"/>
      <c r="D6" s="992"/>
      <c r="E6" s="989"/>
      <c r="F6" s="83" t="s">
        <v>44</v>
      </c>
      <c r="G6" s="83" t="s">
        <v>43</v>
      </c>
      <c r="H6" s="83" t="s">
        <v>27</v>
      </c>
      <c r="I6" s="994"/>
      <c r="J6" s="108" t="s">
        <v>44</v>
      </c>
      <c r="K6" s="108" t="s">
        <v>43</v>
      </c>
      <c r="L6" s="83" t="s">
        <v>27</v>
      </c>
    </row>
    <row r="7" spans="1:12" s="12" customFormat="1">
      <c r="A7" s="1" t="s">
        <v>28</v>
      </c>
      <c r="B7" s="6">
        <v>2</v>
      </c>
      <c r="C7" s="1" t="s">
        <v>103</v>
      </c>
      <c r="D7" s="6">
        <v>4</v>
      </c>
      <c r="E7" s="83" t="s">
        <v>155</v>
      </c>
      <c r="F7" s="83">
        <v>6</v>
      </c>
      <c r="G7" s="83" t="s">
        <v>29</v>
      </c>
      <c r="H7" s="83">
        <v>8</v>
      </c>
      <c r="I7" s="108" t="s">
        <v>30</v>
      </c>
      <c r="J7" s="108">
        <v>10</v>
      </c>
      <c r="K7" s="108" t="s">
        <v>31</v>
      </c>
      <c r="L7" s="83">
        <v>12</v>
      </c>
    </row>
    <row r="8" spans="1:12" s="37" customFormat="1" ht="31.5">
      <c r="A8" s="2">
        <v>1</v>
      </c>
      <c r="B8" s="36" t="s">
        <v>48</v>
      </c>
      <c r="C8" s="4"/>
      <c r="D8" s="4"/>
      <c r="E8" s="27"/>
      <c r="F8" s="27"/>
      <c r="G8" s="27"/>
      <c r="H8" s="27"/>
      <c r="I8" s="109"/>
      <c r="J8" s="109"/>
      <c r="K8" s="109"/>
      <c r="L8" s="84"/>
    </row>
    <row r="9" spans="1:12" s="37" customFormat="1" ht="98.25" customHeight="1">
      <c r="A9" s="3" t="s">
        <v>46</v>
      </c>
      <c r="B9" s="38" t="s">
        <v>49</v>
      </c>
      <c r="C9" s="4"/>
      <c r="D9" s="4"/>
      <c r="E9" s="20">
        <f t="shared" ref="E9:L9" si="0">SUM(E10:E12)</f>
        <v>20823.465999999997</v>
      </c>
      <c r="F9" s="20">
        <f t="shared" si="0"/>
        <v>0</v>
      </c>
      <c r="G9" s="20">
        <f t="shared" si="0"/>
        <v>0</v>
      </c>
      <c r="H9" s="20">
        <f t="shared" si="0"/>
        <v>20823.465999999997</v>
      </c>
      <c r="I9" s="94">
        <f t="shared" si="0"/>
        <v>9145.2199999999993</v>
      </c>
      <c r="J9" s="85">
        <f t="shared" si="0"/>
        <v>0</v>
      </c>
      <c r="K9" s="85">
        <f t="shared" si="0"/>
        <v>0</v>
      </c>
      <c r="L9" s="85">
        <f t="shared" si="0"/>
        <v>9145.2199999999993</v>
      </c>
    </row>
    <row r="10" spans="1:12" s="18" customFormat="1" ht="25.5">
      <c r="A10" s="28"/>
      <c r="B10" s="29" t="s">
        <v>50</v>
      </c>
      <c r="C10" s="13" t="s">
        <v>32</v>
      </c>
      <c r="D10" s="30" t="s">
        <v>33</v>
      </c>
      <c r="E10" s="31">
        <f t="shared" ref="E10:E21" si="1">SUM(F10:H10)</f>
        <v>11170.18</v>
      </c>
      <c r="F10" s="31">
        <v>0</v>
      </c>
      <c r="G10" s="31">
        <v>0</v>
      </c>
      <c r="H10" s="31">
        <v>11170.18</v>
      </c>
      <c r="I10" s="93">
        <f t="shared" ref="I10:I17" si="2">SUM(J10:L10)</f>
        <v>4833.2299999999996</v>
      </c>
      <c r="J10" s="93">
        <v>0</v>
      </c>
      <c r="K10" s="93">
        <v>0</v>
      </c>
      <c r="L10" s="87">
        <v>4833.2299999999996</v>
      </c>
    </row>
    <row r="11" spans="1:12" s="18" customFormat="1" ht="25.5">
      <c r="A11" s="34"/>
      <c r="B11" s="29" t="s">
        <v>47</v>
      </c>
      <c r="C11" s="13" t="s">
        <v>34</v>
      </c>
      <c r="D11" s="30" t="s">
        <v>33</v>
      </c>
      <c r="E11" s="31">
        <f t="shared" si="1"/>
        <v>5909.49</v>
      </c>
      <c r="F11" s="31">
        <v>0</v>
      </c>
      <c r="G11" s="31">
        <v>0</v>
      </c>
      <c r="H11" s="31">
        <v>5909.49</v>
      </c>
      <c r="I11" s="93">
        <f t="shared" si="2"/>
        <v>3472.61</v>
      </c>
      <c r="J11" s="93">
        <v>0</v>
      </c>
      <c r="K11" s="93">
        <v>0</v>
      </c>
      <c r="L11" s="88">
        <v>3472.61</v>
      </c>
    </row>
    <row r="12" spans="1:12" s="18" customFormat="1" ht="15" customHeight="1">
      <c r="A12" s="34"/>
      <c r="B12" s="29" t="s">
        <v>52</v>
      </c>
      <c r="C12" s="13" t="s">
        <v>51</v>
      </c>
      <c r="D12" s="30" t="s">
        <v>33</v>
      </c>
      <c r="E12" s="32">
        <f t="shared" si="1"/>
        <v>3743.7959999999998</v>
      </c>
      <c r="F12" s="31">
        <v>0</v>
      </c>
      <c r="G12" s="31">
        <v>0</v>
      </c>
      <c r="H12" s="32">
        <v>3743.7959999999998</v>
      </c>
      <c r="I12" s="93">
        <f t="shared" si="2"/>
        <v>839.38</v>
      </c>
      <c r="J12" s="93">
        <v>0</v>
      </c>
      <c r="K12" s="93">
        <v>0</v>
      </c>
      <c r="L12" s="86">
        <v>839.38</v>
      </c>
    </row>
    <row r="13" spans="1:12" s="37" customFormat="1" ht="78.75">
      <c r="A13" s="3" t="s">
        <v>63</v>
      </c>
      <c r="B13" s="38" t="s">
        <v>53</v>
      </c>
      <c r="C13" s="4" t="s">
        <v>51</v>
      </c>
      <c r="D13" s="4" t="s">
        <v>33</v>
      </c>
      <c r="E13" s="39">
        <f t="shared" si="1"/>
        <v>620</v>
      </c>
      <c r="F13" s="39">
        <v>0</v>
      </c>
      <c r="G13" s="39">
        <v>0</v>
      </c>
      <c r="H13" s="39">
        <v>620</v>
      </c>
      <c r="I13" s="94">
        <f t="shared" si="2"/>
        <v>52.43</v>
      </c>
      <c r="J13" s="94">
        <v>0</v>
      </c>
      <c r="K13" s="94">
        <v>0</v>
      </c>
      <c r="L13" s="85">
        <v>52.43</v>
      </c>
    </row>
    <row r="14" spans="1:12" s="37" customFormat="1" ht="63">
      <c r="A14" s="3" t="s">
        <v>65</v>
      </c>
      <c r="B14" s="38" t="s">
        <v>54</v>
      </c>
      <c r="C14" s="4" t="s">
        <v>51</v>
      </c>
      <c r="D14" s="4" t="s">
        <v>33</v>
      </c>
      <c r="E14" s="39">
        <f t="shared" si="1"/>
        <v>0</v>
      </c>
      <c r="F14" s="39">
        <v>0</v>
      </c>
      <c r="G14" s="39">
        <v>0</v>
      </c>
      <c r="H14" s="20">
        <v>0</v>
      </c>
      <c r="I14" s="94">
        <f t="shared" si="2"/>
        <v>551.91</v>
      </c>
      <c r="J14" s="94">
        <v>0</v>
      </c>
      <c r="K14" s="94">
        <v>0</v>
      </c>
      <c r="L14" s="85">
        <v>551.91</v>
      </c>
    </row>
    <row r="15" spans="1:12" s="37" customFormat="1" ht="78.75">
      <c r="A15" s="3" t="s">
        <v>66</v>
      </c>
      <c r="B15" s="38" t="s">
        <v>55</v>
      </c>
      <c r="C15" s="4" t="s">
        <v>51</v>
      </c>
      <c r="D15" s="4" t="s">
        <v>33</v>
      </c>
      <c r="E15" s="39">
        <f t="shared" si="1"/>
        <v>1150</v>
      </c>
      <c r="F15" s="39">
        <v>0</v>
      </c>
      <c r="G15" s="39">
        <v>0</v>
      </c>
      <c r="H15" s="20">
        <v>1150</v>
      </c>
      <c r="I15" s="94">
        <f t="shared" si="2"/>
        <v>287.5</v>
      </c>
      <c r="J15" s="94">
        <v>0</v>
      </c>
      <c r="K15" s="94">
        <v>0</v>
      </c>
      <c r="L15" s="85">
        <f>H15/4</f>
        <v>287.5</v>
      </c>
    </row>
    <row r="16" spans="1:12" s="37" customFormat="1" ht="78.75">
      <c r="A16" s="40" t="s">
        <v>67</v>
      </c>
      <c r="B16" s="41" t="s">
        <v>56</v>
      </c>
      <c r="C16" s="11" t="s">
        <v>60</v>
      </c>
      <c r="D16" s="4" t="s">
        <v>33</v>
      </c>
      <c r="E16" s="39">
        <f t="shared" si="1"/>
        <v>80.28</v>
      </c>
      <c r="F16" s="39">
        <v>0</v>
      </c>
      <c r="G16" s="39">
        <v>0</v>
      </c>
      <c r="H16" s="39">
        <v>80.28</v>
      </c>
      <c r="I16" s="94">
        <f t="shared" si="2"/>
        <v>0</v>
      </c>
      <c r="J16" s="94">
        <v>0</v>
      </c>
      <c r="K16" s="94">
        <v>0</v>
      </c>
      <c r="L16" s="89">
        <v>0</v>
      </c>
    </row>
    <row r="17" spans="1:12" s="37" customFormat="1" ht="78.75">
      <c r="A17" s="3" t="s">
        <v>68</v>
      </c>
      <c r="B17" s="38" t="s">
        <v>57</v>
      </c>
      <c r="C17" s="4" t="s">
        <v>51</v>
      </c>
      <c r="D17" s="4" t="s">
        <v>33</v>
      </c>
      <c r="E17" s="39">
        <f t="shared" si="1"/>
        <v>635</v>
      </c>
      <c r="F17" s="39">
        <v>0</v>
      </c>
      <c r="G17" s="39">
        <v>0</v>
      </c>
      <c r="H17" s="39">
        <v>635</v>
      </c>
      <c r="I17" s="94">
        <f t="shared" si="2"/>
        <v>333.16</v>
      </c>
      <c r="J17" s="94">
        <v>0</v>
      </c>
      <c r="K17" s="94">
        <v>0</v>
      </c>
      <c r="L17" s="85">
        <v>333.16</v>
      </c>
    </row>
    <row r="18" spans="1:12" s="37" customFormat="1" ht="63.75" customHeight="1">
      <c r="A18" s="3" t="s">
        <v>64</v>
      </c>
      <c r="B18" s="38" t="s">
        <v>58</v>
      </c>
      <c r="C18" s="4" t="s">
        <v>59</v>
      </c>
      <c r="D18" s="4" t="s">
        <v>33</v>
      </c>
      <c r="E18" s="39">
        <f t="shared" si="1"/>
        <v>3039.29</v>
      </c>
      <c r="F18" s="39">
        <f t="shared" ref="F18:L18" si="3">SUM(F19:F20)</f>
        <v>1652.29</v>
      </c>
      <c r="G18" s="39">
        <f t="shared" si="3"/>
        <v>876</v>
      </c>
      <c r="H18" s="39">
        <f t="shared" si="3"/>
        <v>511</v>
      </c>
      <c r="I18" s="94">
        <f t="shared" si="3"/>
        <v>1870.68</v>
      </c>
      <c r="J18" s="94">
        <f t="shared" si="3"/>
        <v>0</v>
      </c>
      <c r="K18" s="94">
        <f t="shared" si="3"/>
        <v>0</v>
      </c>
      <c r="L18" s="89">
        <f t="shared" si="3"/>
        <v>1870.68</v>
      </c>
    </row>
    <row r="19" spans="1:12" s="18" customFormat="1" ht="51">
      <c r="A19" s="34"/>
      <c r="B19" s="43" t="s">
        <v>61</v>
      </c>
      <c r="C19" s="13" t="s">
        <v>62</v>
      </c>
      <c r="D19" s="30" t="s">
        <v>33</v>
      </c>
      <c r="E19" s="32">
        <f t="shared" si="1"/>
        <v>0</v>
      </c>
      <c r="F19" s="35">
        <v>0</v>
      </c>
      <c r="G19" s="35">
        <v>0</v>
      </c>
      <c r="H19" s="35">
        <v>0</v>
      </c>
      <c r="I19" s="90">
        <f>SUM(J19:L19)</f>
        <v>0</v>
      </c>
      <c r="J19" s="90">
        <v>0</v>
      </c>
      <c r="K19" s="90">
        <v>0</v>
      </c>
      <c r="L19" s="88">
        <v>0</v>
      </c>
    </row>
    <row r="20" spans="1:12" s="18" customFormat="1" ht="51">
      <c r="A20" s="34"/>
      <c r="B20" s="43" t="s">
        <v>5</v>
      </c>
      <c r="C20" s="13" t="s">
        <v>62</v>
      </c>
      <c r="D20" s="30" t="s">
        <v>33</v>
      </c>
      <c r="E20" s="32">
        <f t="shared" si="1"/>
        <v>3039.29</v>
      </c>
      <c r="F20" s="44">
        <v>1652.29</v>
      </c>
      <c r="G20" s="44">
        <v>876</v>
      </c>
      <c r="H20" s="44">
        <v>511</v>
      </c>
      <c r="I20" s="90">
        <f>SUM(J20:L20)</f>
        <v>1870.68</v>
      </c>
      <c r="J20" s="90">
        <v>0</v>
      </c>
      <c r="K20" s="90">
        <v>0</v>
      </c>
      <c r="L20" s="90">
        <v>1870.68</v>
      </c>
    </row>
    <row r="21" spans="1:12" s="37" customFormat="1" ht="63.75" customHeight="1">
      <c r="A21" s="40" t="s">
        <v>69</v>
      </c>
      <c r="B21" s="41" t="s">
        <v>70</v>
      </c>
      <c r="C21" s="11" t="s">
        <v>62</v>
      </c>
      <c r="D21" s="4" t="s">
        <v>33</v>
      </c>
      <c r="E21" s="39">
        <f t="shared" si="1"/>
        <v>125.04</v>
      </c>
      <c r="F21" s="39">
        <v>0</v>
      </c>
      <c r="G21" s="39">
        <v>125.04</v>
      </c>
      <c r="H21" s="39">
        <v>0</v>
      </c>
      <c r="I21" s="94">
        <f>SUM(J21:L21)</f>
        <v>0</v>
      </c>
      <c r="J21" s="94">
        <v>0</v>
      </c>
      <c r="K21" s="94">
        <v>0</v>
      </c>
      <c r="L21" s="89">
        <v>0</v>
      </c>
    </row>
    <row r="22" spans="1:12" s="37" customFormat="1" ht="63">
      <c r="A22" s="3" t="s">
        <v>71</v>
      </c>
      <c r="B22" s="38" t="s">
        <v>6</v>
      </c>
      <c r="C22" s="4" t="s">
        <v>62</v>
      </c>
      <c r="D22" s="4" t="s">
        <v>33</v>
      </c>
      <c r="E22" s="39">
        <f t="shared" ref="E22:L22" si="4">SUM(E23:E25)</f>
        <v>4617.32</v>
      </c>
      <c r="F22" s="39">
        <f t="shared" si="4"/>
        <v>2902.74</v>
      </c>
      <c r="G22" s="39">
        <f t="shared" si="4"/>
        <v>1714.58</v>
      </c>
      <c r="H22" s="39">
        <f t="shared" si="4"/>
        <v>0</v>
      </c>
      <c r="I22" s="94">
        <f t="shared" si="4"/>
        <v>1244.7800000000002</v>
      </c>
      <c r="J22" s="94">
        <f t="shared" si="4"/>
        <v>536.33000000000004</v>
      </c>
      <c r="K22" s="94">
        <f t="shared" si="4"/>
        <v>219.21</v>
      </c>
      <c r="L22" s="89">
        <f t="shared" si="4"/>
        <v>489.23999999999995</v>
      </c>
    </row>
    <row r="23" spans="1:12" s="18" customFormat="1" ht="25.5">
      <c r="A23" s="49"/>
      <c r="B23" s="29" t="s">
        <v>72</v>
      </c>
      <c r="C23" s="13" t="s">
        <v>62</v>
      </c>
      <c r="D23" s="30" t="s">
        <v>33</v>
      </c>
      <c r="E23" s="32">
        <f>SUM(F23:H23)</f>
        <v>2902.74</v>
      </c>
      <c r="F23" s="32">
        <v>2902.74</v>
      </c>
      <c r="G23" s="32"/>
      <c r="H23" s="32"/>
      <c r="I23" s="93">
        <f>SUM(J23:L23)</f>
        <v>1016.6700000000001</v>
      </c>
      <c r="J23" s="93">
        <v>536.33000000000004</v>
      </c>
      <c r="K23" s="93"/>
      <c r="L23" s="87">
        <v>480.34</v>
      </c>
    </row>
    <row r="24" spans="1:12" s="18" customFormat="1" ht="38.25">
      <c r="A24" s="50"/>
      <c r="B24" s="51" t="s">
        <v>73</v>
      </c>
      <c r="C24" s="48" t="s">
        <v>59</v>
      </c>
      <c r="D24" s="30" t="s">
        <v>33</v>
      </c>
      <c r="E24" s="32">
        <f>SUM(F24:H24)</f>
        <v>1714.58</v>
      </c>
      <c r="F24" s="32">
        <v>0</v>
      </c>
      <c r="G24" s="31">
        <v>1714.58</v>
      </c>
      <c r="H24" s="32"/>
      <c r="I24" s="93">
        <f>SUM(J24:L24)</f>
        <v>219.21</v>
      </c>
      <c r="J24" s="90">
        <v>0</v>
      </c>
      <c r="K24" s="93">
        <v>219.21</v>
      </c>
      <c r="L24" s="87">
        <f>SUM(M24:O24)</f>
        <v>0</v>
      </c>
    </row>
    <row r="25" spans="1:12" s="18" customFormat="1" ht="38.25">
      <c r="A25" s="34"/>
      <c r="B25" s="43" t="s">
        <v>74</v>
      </c>
      <c r="C25" s="13" t="s">
        <v>59</v>
      </c>
      <c r="D25" s="30" t="s">
        <v>33</v>
      </c>
      <c r="E25" s="32">
        <f>SUM(F25:H25)</f>
        <v>0</v>
      </c>
      <c r="F25" s="35">
        <v>0</v>
      </c>
      <c r="G25" s="35">
        <v>0</v>
      </c>
      <c r="H25" s="35"/>
      <c r="I25" s="93">
        <f>SUM(J25:L25)</f>
        <v>8.9</v>
      </c>
      <c r="J25" s="90">
        <v>0</v>
      </c>
      <c r="K25" s="90">
        <v>0</v>
      </c>
      <c r="L25" s="88">
        <v>8.9</v>
      </c>
    </row>
    <row r="26" spans="1:12" s="37" customFormat="1" ht="110.25">
      <c r="A26" s="3" t="s">
        <v>75</v>
      </c>
      <c r="B26" s="38" t="s">
        <v>76</v>
      </c>
      <c r="C26" s="11" t="s">
        <v>51</v>
      </c>
      <c r="D26" s="4" t="s">
        <v>33</v>
      </c>
      <c r="E26" s="39">
        <f>SUM(F26:H26)</f>
        <v>150</v>
      </c>
      <c r="F26" s="39">
        <v>0</v>
      </c>
      <c r="G26" s="39">
        <v>0</v>
      </c>
      <c r="H26" s="39">
        <v>150</v>
      </c>
      <c r="I26" s="94">
        <f>SUM(J26:L26)</f>
        <v>22.44</v>
      </c>
      <c r="J26" s="94">
        <v>0</v>
      </c>
      <c r="K26" s="94">
        <v>0</v>
      </c>
      <c r="L26" s="89">
        <v>22.44</v>
      </c>
    </row>
    <row r="27" spans="1:12" ht="63">
      <c r="A27" s="15" t="s">
        <v>78</v>
      </c>
      <c r="B27" s="10" t="s">
        <v>77</v>
      </c>
      <c r="C27" s="9"/>
      <c r="D27" s="9"/>
      <c r="E27" s="22"/>
      <c r="F27" s="22"/>
      <c r="G27" s="22"/>
      <c r="H27" s="22"/>
      <c r="I27" s="95"/>
      <c r="J27" s="95"/>
      <c r="K27" s="95"/>
      <c r="L27" s="91"/>
    </row>
    <row r="28" spans="1:12" s="37" customFormat="1" ht="63">
      <c r="A28" s="40" t="s">
        <v>80</v>
      </c>
      <c r="B28" s="41" t="s">
        <v>79</v>
      </c>
      <c r="C28" s="11" t="s">
        <v>88</v>
      </c>
      <c r="D28" s="4" t="s">
        <v>33</v>
      </c>
      <c r="E28" s="39">
        <f>SUM(F28:H28)</f>
        <v>6653.18</v>
      </c>
      <c r="F28" s="39">
        <v>0</v>
      </c>
      <c r="G28" s="39">
        <v>6653.18</v>
      </c>
      <c r="H28" s="39">
        <v>0</v>
      </c>
      <c r="I28" s="94">
        <f>SUM(J28:L28)</f>
        <v>585.12</v>
      </c>
      <c r="J28" s="94">
        <v>0</v>
      </c>
      <c r="K28" s="94">
        <v>533.36</v>
      </c>
      <c r="L28" s="89">
        <v>51.76</v>
      </c>
    </row>
    <row r="29" spans="1:12" s="37" customFormat="1" ht="192" customHeight="1">
      <c r="A29" s="3" t="s">
        <v>81</v>
      </c>
      <c r="B29" s="38" t="s">
        <v>35</v>
      </c>
      <c r="C29" s="4" t="s">
        <v>62</v>
      </c>
      <c r="D29" s="4" t="s">
        <v>33</v>
      </c>
      <c r="E29" s="20">
        <v>0</v>
      </c>
      <c r="F29" s="20">
        <v>0</v>
      </c>
      <c r="G29" s="20">
        <v>0</v>
      </c>
      <c r="H29" s="20">
        <v>0</v>
      </c>
      <c r="I29" s="94">
        <f>SUM(J29:L29)</f>
        <v>0</v>
      </c>
      <c r="J29" s="94">
        <v>0</v>
      </c>
      <c r="K29" s="94">
        <v>0</v>
      </c>
      <c r="L29" s="85">
        <v>0</v>
      </c>
    </row>
    <row r="30" spans="1:12" s="37" customFormat="1" ht="78.75">
      <c r="A30" s="3" t="s">
        <v>83</v>
      </c>
      <c r="B30" s="38" t="s">
        <v>82</v>
      </c>
      <c r="C30" s="4" t="s">
        <v>62</v>
      </c>
      <c r="D30" s="4" t="s">
        <v>33</v>
      </c>
      <c r="E30" s="20">
        <v>0</v>
      </c>
      <c r="F30" s="20">
        <v>0</v>
      </c>
      <c r="G30" s="20">
        <v>0</v>
      </c>
      <c r="H30" s="20">
        <v>0</v>
      </c>
      <c r="I30" s="94">
        <f>SUM(J30:L30)</f>
        <v>0</v>
      </c>
      <c r="J30" s="94">
        <v>0</v>
      </c>
      <c r="K30" s="94">
        <v>0</v>
      </c>
      <c r="L30" s="85">
        <v>0</v>
      </c>
    </row>
    <row r="31" spans="1:12" s="37" customFormat="1" ht="34.5" customHeight="1">
      <c r="A31" s="3" t="s">
        <v>85</v>
      </c>
      <c r="B31" s="38" t="s">
        <v>84</v>
      </c>
      <c r="C31" s="4" t="s">
        <v>62</v>
      </c>
      <c r="D31" s="4" t="s">
        <v>33</v>
      </c>
      <c r="E31" s="20">
        <v>0</v>
      </c>
      <c r="F31" s="20">
        <v>0</v>
      </c>
      <c r="G31" s="20">
        <v>0</v>
      </c>
      <c r="H31" s="20">
        <v>0</v>
      </c>
      <c r="I31" s="94">
        <f>SUM(J31:L31)</f>
        <v>0</v>
      </c>
      <c r="J31" s="94">
        <v>0</v>
      </c>
      <c r="K31" s="94">
        <v>0</v>
      </c>
      <c r="L31" s="85">
        <v>0</v>
      </c>
    </row>
    <row r="32" spans="1:12" s="37" customFormat="1" ht="34.5" customHeight="1">
      <c r="A32" s="3" t="s">
        <v>87</v>
      </c>
      <c r="B32" s="38" t="s">
        <v>86</v>
      </c>
      <c r="C32" s="4" t="s">
        <v>88</v>
      </c>
      <c r="D32" s="4" t="s">
        <v>33</v>
      </c>
      <c r="E32" s="20">
        <f>F32+G32+H32</f>
        <v>1200</v>
      </c>
      <c r="F32" s="20">
        <v>0</v>
      </c>
      <c r="G32" s="20">
        <v>1200</v>
      </c>
      <c r="H32" s="20">
        <v>0</v>
      </c>
      <c r="I32" s="94">
        <f>SUM(J32:L32)</f>
        <v>0</v>
      </c>
      <c r="J32" s="94">
        <v>0</v>
      </c>
      <c r="K32" s="94">
        <v>0</v>
      </c>
      <c r="L32" s="85">
        <v>0</v>
      </c>
    </row>
    <row r="33" spans="1:13" s="37" customFormat="1" ht="78.75">
      <c r="A33" s="3" t="s">
        <v>90</v>
      </c>
      <c r="B33" s="38" t="s">
        <v>89</v>
      </c>
      <c r="C33" s="4" t="s">
        <v>91</v>
      </c>
      <c r="D33" s="4" t="s">
        <v>33</v>
      </c>
      <c r="E33" s="20">
        <f t="shared" ref="E33:L33" si="5">SUM(E34:E36)</f>
        <v>1200.2</v>
      </c>
      <c r="F33" s="20">
        <f t="shared" si="5"/>
        <v>0</v>
      </c>
      <c r="G33" s="20">
        <f t="shared" si="5"/>
        <v>0</v>
      </c>
      <c r="H33" s="59">
        <f t="shared" si="5"/>
        <v>1200.2</v>
      </c>
      <c r="I33" s="94">
        <f t="shared" si="5"/>
        <v>774</v>
      </c>
      <c r="J33" s="94">
        <f t="shared" si="5"/>
        <v>0</v>
      </c>
      <c r="K33" s="94">
        <f t="shared" si="5"/>
        <v>0</v>
      </c>
      <c r="L33" s="85">
        <f t="shared" si="5"/>
        <v>774</v>
      </c>
    </row>
    <row r="34" spans="1:13" s="52" customFormat="1" ht="51">
      <c r="A34" s="49"/>
      <c r="B34" s="29" t="s">
        <v>92</v>
      </c>
      <c r="C34" s="13" t="s">
        <v>51</v>
      </c>
      <c r="D34" s="13" t="s">
        <v>33</v>
      </c>
      <c r="E34" s="33">
        <f>SUM(F34:H34)</f>
        <v>704</v>
      </c>
      <c r="F34" s="33">
        <v>0</v>
      </c>
      <c r="G34" s="33">
        <v>0</v>
      </c>
      <c r="H34" s="33">
        <v>704</v>
      </c>
      <c r="I34" s="93">
        <f>SUM(J34:L34)</f>
        <v>774</v>
      </c>
      <c r="J34" s="93">
        <v>0</v>
      </c>
      <c r="K34" s="93">
        <v>0</v>
      </c>
      <c r="L34" s="86">
        <v>774</v>
      </c>
    </row>
    <row r="35" spans="1:13" s="52" customFormat="1" ht="38.25">
      <c r="A35" s="49"/>
      <c r="B35" s="29" t="s">
        <v>93</v>
      </c>
      <c r="C35" s="13" t="s">
        <v>91</v>
      </c>
      <c r="D35" s="13" t="s">
        <v>33</v>
      </c>
      <c r="E35" s="33">
        <f>SUM(F35:H35)</f>
        <v>109</v>
      </c>
      <c r="F35" s="33">
        <v>0</v>
      </c>
      <c r="G35" s="33">
        <v>0</v>
      </c>
      <c r="H35" s="32">
        <v>109</v>
      </c>
      <c r="I35" s="93">
        <f>SUM(J35:L35)</f>
        <v>0</v>
      </c>
      <c r="J35" s="93">
        <v>0</v>
      </c>
      <c r="K35" s="93">
        <v>0</v>
      </c>
      <c r="L35" s="86">
        <v>0</v>
      </c>
    </row>
    <row r="36" spans="1:13" s="52" customFormat="1" ht="25.5">
      <c r="A36" s="49"/>
      <c r="B36" s="29" t="s">
        <v>94</v>
      </c>
      <c r="C36" s="13" t="s">
        <v>34</v>
      </c>
      <c r="D36" s="13" t="s">
        <v>33</v>
      </c>
      <c r="E36" s="33">
        <f>SUM(F36:H36)</f>
        <v>387.2</v>
      </c>
      <c r="F36" s="33">
        <v>0</v>
      </c>
      <c r="G36" s="33">
        <v>0</v>
      </c>
      <c r="H36" s="32">
        <v>387.2</v>
      </c>
      <c r="I36" s="93">
        <f>SUM(J36:L36)</f>
        <v>0</v>
      </c>
      <c r="J36" s="93">
        <v>0</v>
      </c>
      <c r="K36" s="93">
        <v>0</v>
      </c>
      <c r="L36" s="86">
        <v>0</v>
      </c>
      <c r="M36"/>
    </row>
    <row r="37" spans="1:13" s="37" customFormat="1" ht="63">
      <c r="A37" s="3" t="s">
        <v>96</v>
      </c>
      <c r="B37" s="38" t="s">
        <v>95</v>
      </c>
      <c r="C37" s="4" t="s">
        <v>62</v>
      </c>
      <c r="D37" s="4" t="s">
        <v>33</v>
      </c>
      <c r="E37" s="20">
        <v>0</v>
      </c>
      <c r="F37" s="20">
        <v>0</v>
      </c>
      <c r="G37" s="20">
        <v>0</v>
      </c>
      <c r="H37" s="20">
        <v>0</v>
      </c>
      <c r="I37" s="94">
        <v>0</v>
      </c>
      <c r="J37" s="94">
        <v>0</v>
      </c>
      <c r="K37" s="94">
        <v>0</v>
      </c>
      <c r="L37" s="85">
        <v>0</v>
      </c>
    </row>
    <row r="38" spans="1:13" s="37" customFormat="1" ht="110.25">
      <c r="A38" s="3" t="s">
        <v>98</v>
      </c>
      <c r="B38" s="38" t="s">
        <v>97</v>
      </c>
      <c r="C38" s="4" t="s">
        <v>99</v>
      </c>
      <c r="D38" s="4" t="s">
        <v>33</v>
      </c>
      <c r="E38" s="20">
        <v>0</v>
      </c>
      <c r="F38" s="20">
        <v>0</v>
      </c>
      <c r="G38" s="20">
        <v>0</v>
      </c>
      <c r="H38" s="20">
        <v>0</v>
      </c>
      <c r="I38" s="94">
        <v>0</v>
      </c>
      <c r="J38" s="94">
        <v>0</v>
      </c>
      <c r="K38" s="94">
        <v>0</v>
      </c>
      <c r="L38" s="85">
        <v>0</v>
      </c>
    </row>
    <row r="39" spans="1:13" s="18" customFormat="1" ht="51">
      <c r="A39" s="49"/>
      <c r="B39" s="29" t="s">
        <v>100</v>
      </c>
      <c r="C39" s="13" t="s">
        <v>99</v>
      </c>
      <c r="D39" s="13" t="s">
        <v>33</v>
      </c>
      <c r="E39" s="33">
        <v>0</v>
      </c>
      <c r="F39" s="33">
        <v>0</v>
      </c>
      <c r="G39" s="33">
        <v>0</v>
      </c>
      <c r="H39" s="33">
        <v>0</v>
      </c>
      <c r="I39" s="93">
        <v>0</v>
      </c>
      <c r="J39" s="93">
        <v>0</v>
      </c>
      <c r="K39" s="93">
        <v>0</v>
      </c>
      <c r="L39" s="86">
        <v>0</v>
      </c>
    </row>
    <row r="40" spans="1:13" s="18" customFormat="1" ht="51">
      <c r="A40" s="49"/>
      <c r="B40" s="29" t="s">
        <v>101</v>
      </c>
      <c r="C40" s="13" t="s">
        <v>99</v>
      </c>
      <c r="D40" s="13" t="s">
        <v>33</v>
      </c>
      <c r="E40" s="33">
        <v>0</v>
      </c>
      <c r="F40" s="33">
        <v>0</v>
      </c>
      <c r="G40" s="33">
        <v>0</v>
      </c>
      <c r="H40" s="33">
        <v>0</v>
      </c>
      <c r="I40" s="93">
        <v>0</v>
      </c>
      <c r="J40" s="93">
        <v>0</v>
      </c>
      <c r="K40" s="93">
        <v>0</v>
      </c>
      <c r="L40" s="86">
        <v>0</v>
      </c>
    </row>
    <row r="41" spans="1:13" ht="31.5">
      <c r="A41" s="16" t="s">
        <v>103</v>
      </c>
      <c r="B41" s="8" t="s">
        <v>102</v>
      </c>
      <c r="C41" s="4"/>
      <c r="D41" s="26"/>
      <c r="E41" s="24"/>
      <c r="F41" s="24"/>
      <c r="G41" s="24"/>
      <c r="H41" s="24"/>
      <c r="I41" s="110"/>
      <c r="J41" s="110"/>
      <c r="K41" s="110"/>
      <c r="L41" s="92"/>
    </row>
    <row r="42" spans="1:13" s="37" customFormat="1" ht="110.25">
      <c r="A42" s="3" t="s">
        <v>105</v>
      </c>
      <c r="B42" s="38" t="s">
        <v>104</v>
      </c>
      <c r="C42" s="4" t="s">
        <v>99</v>
      </c>
      <c r="D42" s="4" t="s">
        <v>33</v>
      </c>
      <c r="E42" s="39">
        <f t="shared" ref="E42:L42" si="6">SUM(E43:E47)</f>
        <v>10105.14</v>
      </c>
      <c r="F42" s="39">
        <f t="shared" si="6"/>
        <v>0</v>
      </c>
      <c r="G42" s="39">
        <f t="shared" si="6"/>
        <v>715.14</v>
      </c>
      <c r="H42" s="39">
        <f t="shared" si="6"/>
        <v>9390</v>
      </c>
      <c r="I42" s="94">
        <f t="shared" si="6"/>
        <v>3319.65</v>
      </c>
      <c r="J42" s="94">
        <f t="shared" si="6"/>
        <v>507.23</v>
      </c>
      <c r="K42" s="94">
        <f t="shared" si="6"/>
        <v>464.92</v>
      </c>
      <c r="L42" s="89">
        <f t="shared" si="6"/>
        <v>2347.5</v>
      </c>
    </row>
    <row r="43" spans="1:13" ht="63">
      <c r="A43" s="1" t="s">
        <v>1</v>
      </c>
      <c r="B43" s="5" t="s">
        <v>106</v>
      </c>
      <c r="C43" s="6" t="s">
        <v>59</v>
      </c>
      <c r="D43" s="6" t="s">
        <v>33</v>
      </c>
      <c r="E43" s="23">
        <f t="shared" ref="E43:E48" si="7">SUM(F43:H43)</f>
        <v>715.14</v>
      </c>
      <c r="F43" s="23">
        <v>0</v>
      </c>
      <c r="G43" s="22">
        <v>715.14</v>
      </c>
      <c r="H43" s="23">
        <v>0</v>
      </c>
      <c r="I43" s="95">
        <f>SUM(J43:L43)</f>
        <v>972.15000000000009</v>
      </c>
      <c r="J43" s="95">
        <v>507.23</v>
      </c>
      <c r="K43" s="95">
        <v>464.92</v>
      </c>
      <c r="L43" s="82">
        <v>0</v>
      </c>
    </row>
    <row r="44" spans="1:13" ht="78.75">
      <c r="A44" s="1" t="s">
        <v>0</v>
      </c>
      <c r="B44" s="5" t="s">
        <v>107</v>
      </c>
      <c r="C44" s="6" t="s">
        <v>108</v>
      </c>
      <c r="D44" s="6" t="s">
        <v>33</v>
      </c>
      <c r="E44" s="23">
        <f t="shared" si="7"/>
        <v>0</v>
      </c>
      <c r="F44" s="23">
        <v>0</v>
      </c>
      <c r="G44" s="23">
        <v>0</v>
      </c>
      <c r="H44" s="23">
        <v>0</v>
      </c>
      <c r="I44" s="95">
        <v>0</v>
      </c>
      <c r="J44" s="95">
        <v>0</v>
      </c>
      <c r="K44" s="95">
        <v>0</v>
      </c>
      <c r="L44" s="82">
        <v>0</v>
      </c>
    </row>
    <row r="45" spans="1:13" ht="78.75">
      <c r="A45" s="1" t="s">
        <v>2</v>
      </c>
      <c r="B45" s="5" t="s">
        <v>109</v>
      </c>
      <c r="C45" s="6" t="s">
        <v>99</v>
      </c>
      <c r="D45" s="6" t="s">
        <v>33</v>
      </c>
      <c r="E45" s="23">
        <f t="shared" si="7"/>
        <v>0</v>
      </c>
      <c r="F45" s="23">
        <v>0</v>
      </c>
      <c r="G45" s="23">
        <v>0</v>
      </c>
      <c r="H45" s="23">
        <v>0</v>
      </c>
      <c r="I45" s="95">
        <v>0</v>
      </c>
      <c r="J45" s="95">
        <v>0</v>
      </c>
      <c r="K45" s="95">
        <v>0</v>
      </c>
      <c r="L45" s="82">
        <v>0</v>
      </c>
    </row>
    <row r="46" spans="1:13" ht="126">
      <c r="A46" s="1" t="s">
        <v>3</v>
      </c>
      <c r="B46" s="5" t="s">
        <v>110</v>
      </c>
      <c r="C46" s="6" t="s">
        <v>36</v>
      </c>
      <c r="D46" s="6" t="s">
        <v>33</v>
      </c>
      <c r="E46" s="23">
        <f t="shared" si="7"/>
        <v>9390</v>
      </c>
      <c r="F46" s="23">
        <v>0</v>
      </c>
      <c r="G46" s="23">
        <v>0</v>
      </c>
      <c r="H46" s="22">
        <v>9390</v>
      </c>
      <c r="I46" s="95">
        <f>SUM(J46:L46)</f>
        <v>2347.5</v>
      </c>
      <c r="J46" s="95">
        <v>0</v>
      </c>
      <c r="K46" s="95">
        <v>0</v>
      </c>
      <c r="L46" s="82">
        <f>H46/4</f>
        <v>2347.5</v>
      </c>
    </row>
    <row r="47" spans="1:13" ht="47.25">
      <c r="A47" s="1" t="s">
        <v>4</v>
      </c>
      <c r="B47" s="5" t="s">
        <v>111</v>
      </c>
      <c r="C47" s="6" t="s">
        <v>62</v>
      </c>
      <c r="D47" s="6" t="s">
        <v>33</v>
      </c>
      <c r="E47" s="23">
        <f t="shared" si="7"/>
        <v>0</v>
      </c>
      <c r="F47" s="23">
        <v>0</v>
      </c>
      <c r="G47" s="23">
        <v>0</v>
      </c>
      <c r="H47" s="23">
        <v>0</v>
      </c>
      <c r="I47" s="95">
        <f>SUM(J47:L47)</f>
        <v>0</v>
      </c>
      <c r="J47" s="95">
        <v>0</v>
      </c>
      <c r="K47" s="95">
        <v>0</v>
      </c>
      <c r="L47" s="82">
        <v>0</v>
      </c>
    </row>
    <row r="48" spans="1:13" s="37" customFormat="1" ht="63">
      <c r="A48" s="40" t="s">
        <v>113</v>
      </c>
      <c r="B48" s="41" t="s">
        <v>112</v>
      </c>
      <c r="C48" s="11" t="s">
        <v>59</v>
      </c>
      <c r="D48" s="4" t="s">
        <v>33</v>
      </c>
      <c r="E48" s="39">
        <f t="shared" si="7"/>
        <v>881.31</v>
      </c>
      <c r="F48" s="39">
        <v>0</v>
      </c>
      <c r="G48" s="39">
        <v>881.31</v>
      </c>
      <c r="H48" s="39">
        <v>0</v>
      </c>
      <c r="I48" s="94">
        <f>SUM(J48:L48)</f>
        <v>45.69</v>
      </c>
      <c r="J48" s="94">
        <v>42.08</v>
      </c>
      <c r="K48" s="94">
        <v>0</v>
      </c>
      <c r="L48" s="89">
        <v>3.61</v>
      </c>
    </row>
    <row r="49" spans="1:13" s="37" customFormat="1" ht="94.5">
      <c r="A49" s="40" t="s">
        <v>115</v>
      </c>
      <c r="B49" s="41" t="s">
        <v>114</v>
      </c>
      <c r="C49" s="11" t="s">
        <v>59</v>
      </c>
      <c r="D49" s="4" t="s">
        <v>33</v>
      </c>
      <c r="E49" s="20">
        <f t="shared" ref="E49:L49" si="8">E50+E54+E55</f>
        <v>1688.4409999999998</v>
      </c>
      <c r="F49" s="20">
        <f t="shared" si="8"/>
        <v>0</v>
      </c>
      <c r="G49" s="20">
        <f t="shared" si="8"/>
        <v>1688.4409999999998</v>
      </c>
      <c r="H49" s="20">
        <f t="shared" si="8"/>
        <v>0</v>
      </c>
      <c r="I49" s="94">
        <f t="shared" si="8"/>
        <v>17146.899999999998</v>
      </c>
      <c r="J49" s="94">
        <f t="shared" si="8"/>
        <v>15282</v>
      </c>
      <c r="K49" s="94">
        <f t="shared" si="8"/>
        <v>590.17999999999995</v>
      </c>
      <c r="L49" s="85">
        <f t="shared" si="8"/>
        <v>1274.72</v>
      </c>
    </row>
    <row r="50" spans="1:13" s="18" customFormat="1" ht="38.25">
      <c r="A50" s="46"/>
      <c r="B50" s="47" t="s">
        <v>116</v>
      </c>
      <c r="C50" s="48" t="s">
        <v>59</v>
      </c>
      <c r="D50" s="13" t="s">
        <v>33</v>
      </c>
      <c r="E50" s="32">
        <f t="shared" ref="E50:L50" si="9">SUM(E51:E53)</f>
        <v>372.54399999999998</v>
      </c>
      <c r="F50" s="32">
        <f t="shared" si="9"/>
        <v>0</v>
      </c>
      <c r="G50" s="58">
        <f t="shared" si="9"/>
        <v>372.54399999999998</v>
      </c>
      <c r="H50" s="32">
        <f t="shared" si="9"/>
        <v>0</v>
      </c>
      <c r="I50" s="93">
        <f t="shared" si="9"/>
        <v>14300.02</v>
      </c>
      <c r="J50" s="93">
        <f t="shared" si="9"/>
        <v>13371.75</v>
      </c>
      <c r="K50" s="93">
        <f t="shared" si="9"/>
        <v>538.30999999999995</v>
      </c>
      <c r="L50" s="87">
        <f t="shared" si="9"/>
        <v>389.96</v>
      </c>
      <c r="M50" s="37"/>
    </row>
    <row r="51" spans="1:13" s="18" customFormat="1" ht="25.5">
      <c r="A51" s="46"/>
      <c r="B51" s="47" t="s">
        <v>117</v>
      </c>
      <c r="C51" s="48" t="s">
        <v>59</v>
      </c>
      <c r="D51" s="13" t="s">
        <v>33</v>
      </c>
      <c r="E51" s="45">
        <f>SUM(F51:H51)</f>
        <v>38.613</v>
      </c>
      <c r="F51" s="45">
        <f>SUM(F52:F56)</f>
        <v>0</v>
      </c>
      <c r="G51" s="45">
        <v>38.613</v>
      </c>
      <c r="H51" s="45">
        <f>SUM(H52:H56)</f>
        <v>0</v>
      </c>
      <c r="I51" s="93">
        <f>SUM(J51:L51)</f>
        <v>8151.49</v>
      </c>
      <c r="J51" s="93">
        <f>SUM(J52:J56)</f>
        <v>7641</v>
      </c>
      <c r="K51" s="93">
        <v>120.53</v>
      </c>
      <c r="L51" s="93">
        <v>389.96</v>
      </c>
      <c r="M51" s="37"/>
    </row>
    <row r="52" spans="1:13" s="18" customFormat="1" ht="25.5">
      <c r="A52" s="46"/>
      <c r="B52" s="47" t="s">
        <v>118</v>
      </c>
      <c r="C52" s="48" t="s">
        <v>59</v>
      </c>
      <c r="D52" s="13" t="s">
        <v>33</v>
      </c>
      <c r="E52" s="45">
        <f>SUM(F52:H52)</f>
        <v>19.867999999999999</v>
      </c>
      <c r="F52" s="45">
        <f>SUM(F53:F57)</f>
        <v>0</v>
      </c>
      <c r="G52" s="45">
        <v>19.867999999999999</v>
      </c>
      <c r="H52" s="45">
        <f>SUM(H53:H57)</f>
        <v>0</v>
      </c>
      <c r="I52" s="93">
        <f>SUM(J52:L52)</f>
        <v>3828.8800000000006</v>
      </c>
      <c r="J52" s="93">
        <f>SUM(J53:J57)</f>
        <v>3820.5000000000005</v>
      </c>
      <c r="K52" s="93">
        <v>8.3800000000000008</v>
      </c>
      <c r="L52" s="93">
        <v>0</v>
      </c>
      <c r="M52" s="37"/>
    </row>
    <row r="53" spans="1:13" s="18" customFormat="1" ht="25.5">
      <c r="A53" s="46"/>
      <c r="B53" s="47" t="s">
        <v>119</v>
      </c>
      <c r="C53" s="48" t="s">
        <v>59</v>
      </c>
      <c r="D53" s="13" t="s">
        <v>33</v>
      </c>
      <c r="E53" s="45">
        <f>SUM(F53:H53)</f>
        <v>314.06299999999999</v>
      </c>
      <c r="F53" s="45">
        <f>SUM(F54:F58)</f>
        <v>0</v>
      </c>
      <c r="G53" s="45">
        <v>314.06299999999999</v>
      </c>
      <c r="H53" s="45">
        <f>SUM(H54:H58)</f>
        <v>0</v>
      </c>
      <c r="I53" s="93">
        <f>SUM(J53:L53)</f>
        <v>2319.65</v>
      </c>
      <c r="J53" s="93">
        <f>SUM(J54:J58)</f>
        <v>1910.25</v>
      </c>
      <c r="K53" s="93">
        <v>409.4</v>
      </c>
      <c r="L53" s="93">
        <v>0</v>
      </c>
    </row>
    <row r="54" spans="1:13" s="18" customFormat="1" ht="25.5">
      <c r="A54" s="46"/>
      <c r="B54" s="47" t="s">
        <v>120</v>
      </c>
      <c r="C54" s="48" t="s">
        <v>59</v>
      </c>
      <c r="D54" s="13" t="s">
        <v>33</v>
      </c>
      <c r="E54" s="45">
        <f>SUM(F54:H54)</f>
        <v>1096.355</v>
      </c>
      <c r="F54" s="45">
        <f>SUM(F55:F59)</f>
        <v>0</v>
      </c>
      <c r="G54" s="45">
        <v>1096.355</v>
      </c>
      <c r="H54" s="45">
        <f>SUM(H55:H59)</f>
        <v>0</v>
      </c>
      <c r="I54" s="93">
        <f>SUM(J54:L54)</f>
        <v>2726.46</v>
      </c>
      <c r="J54" s="93">
        <v>1864.14</v>
      </c>
      <c r="K54" s="93">
        <v>0</v>
      </c>
      <c r="L54" s="93">
        <v>862.32</v>
      </c>
    </row>
    <row r="55" spans="1:13" s="18" customFormat="1" ht="25.5">
      <c r="A55" s="46"/>
      <c r="B55" s="47" t="s">
        <v>121</v>
      </c>
      <c r="C55" s="48" t="s">
        <v>59</v>
      </c>
      <c r="D55" s="13" t="s">
        <v>33</v>
      </c>
      <c r="E55" s="45">
        <f>SUM(F55:H55)</f>
        <v>219.542</v>
      </c>
      <c r="F55" s="45">
        <f>SUM(F56:F60)</f>
        <v>0</v>
      </c>
      <c r="G55" s="45">
        <v>219.542</v>
      </c>
      <c r="H55" s="45">
        <f>SUM(H56:H60)</f>
        <v>0</v>
      </c>
      <c r="I55" s="93">
        <f>SUM(J55:L55)</f>
        <v>120.41999999999999</v>
      </c>
      <c r="J55" s="93">
        <v>46.11</v>
      </c>
      <c r="K55" s="93">
        <v>51.87</v>
      </c>
      <c r="L55" s="93">
        <v>22.44</v>
      </c>
    </row>
    <row r="56" spans="1:13" s="37" customFormat="1" ht="47.25">
      <c r="A56" s="40" t="s">
        <v>122</v>
      </c>
      <c r="B56" s="41" t="s">
        <v>123</v>
      </c>
      <c r="C56" s="11" t="s">
        <v>59</v>
      </c>
      <c r="D56" s="4" t="s">
        <v>33</v>
      </c>
      <c r="E56" s="56">
        <f t="shared" ref="E56:L56" si="10">SUM(E57,E62)</f>
        <v>4910.6909999999998</v>
      </c>
      <c r="F56" s="56">
        <f t="shared" si="10"/>
        <v>0</v>
      </c>
      <c r="G56" s="56">
        <f t="shared" si="10"/>
        <v>4910.6909999999998</v>
      </c>
      <c r="H56" s="56">
        <f t="shared" si="10"/>
        <v>0</v>
      </c>
      <c r="I56" s="94">
        <f t="shared" si="10"/>
        <v>1667.2800000000002</v>
      </c>
      <c r="J56" s="94">
        <f t="shared" si="10"/>
        <v>0</v>
      </c>
      <c r="K56" s="94">
        <f t="shared" si="10"/>
        <v>0</v>
      </c>
      <c r="L56" s="94">
        <f t="shared" si="10"/>
        <v>1667.2800000000002</v>
      </c>
    </row>
    <row r="57" spans="1:13" ht="25.5">
      <c r="A57" s="14"/>
      <c r="B57" s="47" t="s">
        <v>183</v>
      </c>
      <c r="C57" s="48" t="s">
        <v>59</v>
      </c>
      <c r="D57" s="13" t="s">
        <v>33</v>
      </c>
      <c r="E57" s="57">
        <f t="shared" ref="E57:L57" si="11">SUM(E58:E61)</f>
        <v>1527</v>
      </c>
      <c r="F57" s="57">
        <f t="shared" si="11"/>
        <v>0</v>
      </c>
      <c r="G57" s="57">
        <f t="shared" si="11"/>
        <v>1527</v>
      </c>
      <c r="H57" s="57">
        <f t="shared" si="11"/>
        <v>0</v>
      </c>
      <c r="I57" s="95">
        <f t="shared" si="11"/>
        <v>335.6</v>
      </c>
      <c r="J57" s="95">
        <f t="shared" si="11"/>
        <v>0</v>
      </c>
      <c r="K57" s="95">
        <f t="shared" si="11"/>
        <v>0</v>
      </c>
      <c r="L57" s="95">
        <f t="shared" si="11"/>
        <v>335.6</v>
      </c>
    </row>
    <row r="58" spans="1:13" ht="25.5">
      <c r="A58" s="14"/>
      <c r="B58" s="47" t="s">
        <v>124</v>
      </c>
      <c r="C58" s="48" t="s">
        <v>59</v>
      </c>
      <c r="D58" s="13" t="s">
        <v>33</v>
      </c>
      <c r="E58" s="57">
        <f t="shared" ref="E58:E63" si="12">SUM(F58:H58)</f>
        <v>540</v>
      </c>
      <c r="F58" s="57">
        <v>0</v>
      </c>
      <c r="G58" s="57">
        <v>540</v>
      </c>
      <c r="H58" s="57">
        <v>0</v>
      </c>
      <c r="I58" s="95">
        <f>SUM(J58:L58)</f>
        <v>14.44</v>
      </c>
      <c r="J58" s="95">
        <v>0</v>
      </c>
      <c r="K58" s="95">
        <v>0</v>
      </c>
      <c r="L58" s="95">
        <v>14.44</v>
      </c>
    </row>
    <row r="59" spans="1:13" ht="25.5">
      <c r="A59" s="14"/>
      <c r="B59" s="47" t="s">
        <v>125</v>
      </c>
      <c r="C59" s="48" t="s">
        <v>59</v>
      </c>
      <c r="D59" s="13" t="s">
        <v>33</v>
      </c>
      <c r="E59" s="57">
        <f t="shared" si="12"/>
        <v>810</v>
      </c>
      <c r="F59" s="57">
        <v>0</v>
      </c>
      <c r="G59" s="57">
        <v>810</v>
      </c>
      <c r="H59" s="57">
        <v>0</v>
      </c>
      <c r="I59" s="95">
        <f>SUM(J59:L59)</f>
        <v>263.82</v>
      </c>
      <c r="J59" s="95">
        <v>0</v>
      </c>
      <c r="K59" s="95">
        <v>0</v>
      </c>
      <c r="L59" s="95">
        <v>263.82</v>
      </c>
    </row>
    <row r="60" spans="1:13" ht="25.5">
      <c r="A60" s="14"/>
      <c r="B60" s="47" t="s">
        <v>126</v>
      </c>
      <c r="C60" s="48" t="s">
        <v>59</v>
      </c>
      <c r="D60" s="13" t="s">
        <v>33</v>
      </c>
      <c r="E60" s="57">
        <f t="shared" si="12"/>
        <v>81</v>
      </c>
      <c r="F60" s="57">
        <v>0</v>
      </c>
      <c r="G60" s="57">
        <v>81</v>
      </c>
      <c r="H60" s="57">
        <v>0</v>
      </c>
      <c r="I60" s="95">
        <f>SUM(J60:L60)</f>
        <v>40.18</v>
      </c>
      <c r="J60" s="95">
        <v>0</v>
      </c>
      <c r="K60" s="95">
        <v>0</v>
      </c>
      <c r="L60" s="95">
        <v>40.18</v>
      </c>
    </row>
    <row r="61" spans="1:13" ht="25.5">
      <c r="A61" s="14"/>
      <c r="B61" s="47" t="s">
        <v>127</v>
      </c>
      <c r="C61" s="48" t="s">
        <v>59</v>
      </c>
      <c r="D61" s="13" t="s">
        <v>33</v>
      </c>
      <c r="E61" s="57">
        <f t="shared" si="12"/>
        <v>96</v>
      </c>
      <c r="F61" s="57">
        <v>0</v>
      </c>
      <c r="G61" s="57">
        <v>96</v>
      </c>
      <c r="H61" s="57">
        <v>0</v>
      </c>
      <c r="I61" s="95">
        <f>SUM(J61:L61)</f>
        <v>17.16</v>
      </c>
      <c r="J61" s="95">
        <v>0</v>
      </c>
      <c r="K61" s="95">
        <v>0</v>
      </c>
      <c r="L61" s="95">
        <v>17.16</v>
      </c>
    </row>
    <row r="62" spans="1:13" ht="25.5">
      <c r="A62" s="14"/>
      <c r="B62" s="47" t="s">
        <v>128</v>
      </c>
      <c r="C62" s="48" t="s">
        <v>59</v>
      </c>
      <c r="D62" s="13" t="s">
        <v>33</v>
      </c>
      <c r="E62" s="57">
        <f t="shared" si="12"/>
        <v>3383.6909999999998</v>
      </c>
      <c r="F62" s="22">
        <v>0</v>
      </c>
      <c r="G62" s="22">
        <v>3383.6909999999998</v>
      </c>
      <c r="H62" s="22">
        <v>0</v>
      </c>
      <c r="I62" s="95">
        <f>SUM(J62:L62)</f>
        <v>1331.68</v>
      </c>
      <c r="J62" s="95">
        <v>0</v>
      </c>
      <c r="K62" s="95">
        <v>0</v>
      </c>
      <c r="L62" s="91">
        <v>1331.68</v>
      </c>
    </row>
    <row r="63" spans="1:13" s="37" customFormat="1" ht="94.5">
      <c r="A63" s="40" t="s">
        <v>130</v>
      </c>
      <c r="B63" s="41" t="s">
        <v>129</v>
      </c>
      <c r="C63" s="11" t="s">
        <v>59</v>
      </c>
      <c r="D63" s="4" t="s">
        <v>33</v>
      </c>
      <c r="E63" s="39">
        <f t="shared" si="12"/>
        <v>225</v>
      </c>
      <c r="F63" s="39">
        <v>0</v>
      </c>
      <c r="G63" s="39">
        <v>0</v>
      </c>
      <c r="H63" s="39">
        <v>225</v>
      </c>
      <c r="I63" s="94">
        <v>0</v>
      </c>
      <c r="J63" s="94">
        <v>0</v>
      </c>
      <c r="K63" s="94">
        <v>0</v>
      </c>
      <c r="L63" s="89">
        <v>0</v>
      </c>
    </row>
    <row r="64" spans="1:13" ht="31.5">
      <c r="A64" s="15" t="s">
        <v>132</v>
      </c>
      <c r="B64" s="10" t="s">
        <v>131</v>
      </c>
      <c r="C64" s="9" t="s">
        <v>59</v>
      </c>
      <c r="D64" s="6" t="s">
        <v>33</v>
      </c>
      <c r="E64" s="21"/>
      <c r="F64" s="21"/>
      <c r="G64" s="21"/>
      <c r="H64" s="21"/>
      <c r="I64" s="110"/>
      <c r="J64" s="110"/>
      <c r="K64" s="110"/>
      <c r="L64" s="96"/>
    </row>
    <row r="65" spans="1:12" s="37" customFormat="1" ht="78.75">
      <c r="A65" s="40" t="s">
        <v>135</v>
      </c>
      <c r="B65" s="41" t="s">
        <v>133</v>
      </c>
      <c r="C65" s="11" t="s">
        <v>99</v>
      </c>
      <c r="D65" s="4" t="s">
        <v>33</v>
      </c>
      <c r="E65" s="39">
        <f t="shared" ref="E65:L65" si="13">SUM(E66:E69)</f>
        <v>153151.63</v>
      </c>
      <c r="F65" s="39">
        <f t="shared" si="13"/>
        <v>58704</v>
      </c>
      <c r="G65" s="39">
        <f t="shared" si="13"/>
        <v>0</v>
      </c>
      <c r="H65" s="39">
        <f t="shared" si="13"/>
        <v>94447.63</v>
      </c>
      <c r="I65" s="94">
        <f t="shared" si="13"/>
        <v>35199.68</v>
      </c>
      <c r="J65" s="94">
        <f t="shared" si="13"/>
        <v>15303.03</v>
      </c>
      <c r="K65" s="94">
        <f t="shared" si="13"/>
        <v>0</v>
      </c>
      <c r="L65" s="89">
        <f t="shared" si="13"/>
        <v>19896.650000000001</v>
      </c>
    </row>
    <row r="66" spans="1:12" s="18" customFormat="1" ht="88.5" customHeight="1">
      <c r="A66" s="46"/>
      <c r="B66" s="47" t="s">
        <v>134</v>
      </c>
      <c r="C66" s="48" t="s">
        <v>59</v>
      </c>
      <c r="D66" s="13" t="s">
        <v>33</v>
      </c>
      <c r="E66" s="32">
        <f>SUM(F66:H66)</f>
        <v>152448</v>
      </c>
      <c r="F66" s="32">
        <v>58704</v>
      </c>
      <c r="G66" s="32">
        <v>0</v>
      </c>
      <c r="H66" s="32">
        <v>93744</v>
      </c>
      <c r="I66" s="93">
        <f>SUM(J66:L66)</f>
        <v>35199.68</v>
      </c>
      <c r="J66" s="93">
        <v>15303.03</v>
      </c>
      <c r="K66" s="93">
        <v>0</v>
      </c>
      <c r="L66" s="87">
        <v>19896.650000000001</v>
      </c>
    </row>
    <row r="67" spans="1:12" s="18" customFormat="1" ht="51">
      <c r="A67" s="49"/>
      <c r="B67" s="29" t="s">
        <v>136</v>
      </c>
      <c r="C67" s="13" t="s">
        <v>99</v>
      </c>
      <c r="D67" s="13" t="s">
        <v>33</v>
      </c>
      <c r="E67" s="32">
        <f>SUM(F67:H67)</f>
        <v>0</v>
      </c>
      <c r="F67" s="33">
        <v>0</v>
      </c>
      <c r="G67" s="33">
        <v>0</v>
      </c>
      <c r="H67" s="33">
        <v>0</v>
      </c>
      <c r="I67" s="93">
        <f>SUM(J67:L67)</f>
        <v>0</v>
      </c>
      <c r="J67" s="93">
        <v>0</v>
      </c>
      <c r="K67" s="93">
        <v>0</v>
      </c>
      <c r="L67" s="86">
        <v>0</v>
      </c>
    </row>
    <row r="68" spans="1:12" s="18" customFormat="1" ht="51">
      <c r="A68" s="34"/>
      <c r="B68" s="29" t="s">
        <v>137</v>
      </c>
      <c r="C68" s="13" t="s">
        <v>99</v>
      </c>
      <c r="D68" s="13" t="s">
        <v>33</v>
      </c>
      <c r="E68" s="32">
        <f>SUM(F68:H68)</f>
        <v>0</v>
      </c>
      <c r="F68" s="33">
        <v>0</v>
      </c>
      <c r="G68" s="33">
        <v>0</v>
      </c>
      <c r="H68" s="33">
        <v>0</v>
      </c>
      <c r="I68" s="93">
        <f>SUM(J68:L68)</f>
        <v>0</v>
      </c>
      <c r="J68" s="93">
        <v>0</v>
      </c>
      <c r="K68" s="93">
        <v>0</v>
      </c>
      <c r="L68" s="86">
        <v>0</v>
      </c>
    </row>
    <row r="69" spans="1:12" s="18" customFormat="1" ht="102">
      <c r="A69" s="46"/>
      <c r="B69" s="47" t="s">
        <v>138</v>
      </c>
      <c r="C69" s="48" t="s">
        <v>99</v>
      </c>
      <c r="D69" s="13" t="s">
        <v>33</v>
      </c>
      <c r="E69" s="32">
        <f>SUM(F69:H69)</f>
        <v>703.63</v>
      </c>
      <c r="F69" s="32">
        <v>0</v>
      </c>
      <c r="G69" s="32">
        <v>0</v>
      </c>
      <c r="H69" s="32">
        <v>703.63</v>
      </c>
      <c r="I69" s="93">
        <f>SUM(J69:L69)</f>
        <v>0</v>
      </c>
      <c r="J69" s="93">
        <v>0</v>
      </c>
      <c r="K69" s="93">
        <v>0</v>
      </c>
      <c r="L69" s="87">
        <v>0</v>
      </c>
    </row>
    <row r="70" spans="1:12" s="37" customFormat="1" ht="78.75">
      <c r="A70" s="40" t="s">
        <v>140</v>
      </c>
      <c r="B70" s="41" t="s">
        <v>139</v>
      </c>
      <c r="C70" s="11" t="s">
        <v>99</v>
      </c>
      <c r="D70" s="4" t="s">
        <v>33</v>
      </c>
      <c r="E70" s="60">
        <f t="shared" ref="E70:L70" si="14">E71</f>
        <v>1242.19</v>
      </c>
      <c r="F70" s="39">
        <f t="shared" si="14"/>
        <v>0</v>
      </c>
      <c r="G70" s="39">
        <f t="shared" si="14"/>
        <v>892.18999999999994</v>
      </c>
      <c r="H70" s="39">
        <f t="shared" si="14"/>
        <v>350</v>
      </c>
      <c r="I70" s="94">
        <f t="shared" si="14"/>
        <v>0</v>
      </c>
      <c r="J70" s="94">
        <f t="shared" si="14"/>
        <v>0</v>
      </c>
      <c r="K70" s="94">
        <f t="shared" si="14"/>
        <v>0</v>
      </c>
      <c r="L70" s="89">
        <f t="shared" si="14"/>
        <v>0</v>
      </c>
    </row>
    <row r="71" spans="1:12" s="18" customFormat="1" ht="76.5">
      <c r="A71" s="46"/>
      <c r="B71" s="47" t="s">
        <v>141</v>
      </c>
      <c r="C71" s="48" t="s">
        <v>99</v>
      </c>
      <c r="D71" s="13" t="s">
        <v>33</v>
      </c>
      <c r="E71" s="32">
        <f>SUM(F71:H71)</f>
        <v>1242.19</v>
      </c>
      <c r="F71" s="32">
        <v>0</v>
      </c>
      <c r="G71" s="45">
        <f>89.38+802.81</f>
        <v>892.18999999999994</v>
      </c>
      <c r="H71" s="32">
        <v>350</v>
      </c>
      <c r="I71" s="93">
        <f>SUM(J71:L71)</f>
        <v>0</v>
      </c>
      <c r="J71" s="93">
        <v>0</v>
      </c>
      <c r="K71" s="93">
        <v>0</v>
      </c>
      <c r="L71" s="87">
        <v>0</v>
      </c>
    </row>
    <row r="72" spans="1:12" s="37" customFormat="1" ht="78.75">
      <c r="A72" s="40" t="s">
        <v>143</v>
      </c>
      <c r="B72" s="41" t="s">
        <v>142</v>
      </c>
      <c r="C72" s="11" t="s">
        <v>99</v>
      </c>
      <c r="D72" s="4" t="s">
        <v>33</v>
      </c>
      <c r="E72" s="39">
        <f t="shared" ref="E72:L72" si="15">SUM(E73:E75)</f>
        <v>1078.75</v>
      </c>
      <c r="F72" s="39">
        <f t="shared" si="15"/>
        <v>0</v>
      </c>
      <c r="G72" s="39">
        <f t="shared" si="15"/>
        <v>675</v>
      </c>
      <c r="H72" s="39">
        <f t="shared" si="15"/>
        <v>403.75</v>
      </c>
      <c r="I72" s="94">
        <f t="shared" si="15"/>
        <v>0</v>
      </c>
      <c r="J72" s="94">
        <f t="shared" si="15"/>
        <v>0</v>
      </c>
      <c r="K72" s="94">
        <f t="shared" si="15"/>
        <v>0</v>
      </c>
      <c r="L72" s="89">
        <f t="shared" si="15"/>
        <v>0</v>
      </c>
    </row>
    <row r="73" spans="1:12" s="18" customFormat="1" ht="51">
      <c r="A73" s="46"/>
      <c r="B73" s="47" t="s">
        <v>144</v>
      </c>
      <c r="C73" s="48" t="s">
        <v>99</v>
      </c>
      <c r="D73" s="13" t="s">
        <v>33</v>
      </c>
      <c r="E73" s="32">
        <f>SUM(F73:H73)</f>
        <v>405</v>
      </c>
      <c r="F73" s="32">
        <v>0</v>
      </c>
      <c r="G73" s="32">
        <v>270</v>
      </c>
      <c r="H73" s="32">
        <v>135</v>
      </c>
      <c r="I73" s="93">
        <f>SUM(J73:L73)</f>
        <v>0</v>
      </c>
      <c r="J73" s="93">
        <v>0</v>
      </c>
      <c r="K73" s="93">
        <v>0</v>
      </c>
      <c r="L73" s="87">
        <v>0</v>
      </c>
    </row>
    <row r="74" spans="1:12" s="18" customFormat="1" ht="51">
      <c r="A74" s="46"/>
      <c r="B74" s="47" t="s">
        <v>145</v>
      </c>
      <c r="C74" s="48" t="s">
        <v>99</v>
      </c>
      <c r="D74" s="13" t="s">
        <v>33</v>
      </c>
      <c r="E74" s="32">
        <f>SUM(F74:H74)</f>
        <v>403.75</v>
      </c>
      <c r="F74" s="32">
        <v>0</v>
      </c>
      <c r="G74" s="32">
        <v>225</v>
      </c>
      <c r="H74" s="32">
        <v>178.75</v>
      </c>
      <c r="I74" s="93">
        <f>SUM(J74:L74)</f>
        <v>0</v>
      </c>
      <c r="J74" s="93">
        <v>0</v>
      </c>
      <c r="K74" s="93">
        <v>0</v>
      </c>
      <c r="L74" s="87">
        <v>0</v>
      </c>
    </row>
    <row r="75" spans="1:12" s="18" customFormat="1" ht="51">
      <c r="A75" s="34"/>
      <c r="B75" s="47" t="s">
        <v>146</v>
      </c>
      <c r="C75" s="48" t="s">
        <v>99</v>
      </c>
      <c r="D75" s="13" t="s">
        <v>33</v>
      </c>
      <c r="E75" s="32">
        <f>SUM(F75:H75)</f>
        <v>270</v>
      </c>
      <c r="F75" s="32">
        <v>0</v>
      </c>
      <c r="G75" s="32">
        <v>180</v>
      </c>
      <c r="H75" s="32">
        <v>90</v>
      </c>
      <c r="I75" s="93">
        <f>SUM(J75:L75)</f>
        <v>0</v>
      </c>
      <c r="J75" s="93">
        <v>0</v>
      </c>
      <c r="K75" s="93">
        <v>0</v>
      </c>
      <c r="L75" s="87">
        <v>0</v>
      </c>
    </row>
    <row r="76" spans="1:12" s="37" customFormat="1" ht="94.5">
      <c r="A76" s="3" t="s">
        <v>148</v>
      </c>
      <c r="B76" s="38" t="s">
        <v>147</v>
      </c>
      <c r="C76" s="4" t="s">
        <v>62</v>
      </c>
      <c r="D76" s="4" t="s">
        <v>33</v>
      </c>
      <c r="E76" s="20">
        <v>0</v>
      </c>
      <c r="F76" s="20">
        <v>0</v>
      </c>
      <c r="G76" s="20">
        <v>0</v>
      </c>
      <c r="H76" s="20">
        <v>0</v>
      </c>
      <c r="I76" s="94">
        <v>0</v>
      </c>
      <c r="J76" s="94">
        <v>0</v>
      </c>
      <c r="K76" s="94">
        <v>0</v>
      </c>
      <c r="L76" s="85">
        <v>0</v>
      </c>
    </row>
    <row r="77" spans="1:12" s="37" customFormat="1" ht="63">
      <c r="A77" s="3" t="s">
        <v>150</v>
      </c>
      <c r="B77" s="38" t="s">
        <v>149</v>
      </c>
      <c r="C77" s="4" t="s">
        <v>62</v>
      </c>
      <c r="D77" s="4" t="s">
        <v>33</v>
      </c>
      <c r="E77" s="20">
        <v>0</v>
      </c>
      <c r="F77" s="20">
        <v>0</v>
      </c>
      <c r="G77" s="20">
        <v>0</v>
      </c>
      <c r="H77" s="20">
        <v>0</v>
      </c>
      <c r="I77" s="94">
        <v>0</v>
      </c>
      <c r="J77" s="94">
        <v>0</v>
      </c>
      <c r="K77" s="94">
        <v>0</v>
      </c>
      <c r="L77" s="85">
        <v>0</v>
      </c>
    </row>
    <row r="78" spans="1:12" s="37" customFormat="1" ht="110.25">
      <c r="A78" s="40" t="s">
        <v>152</v>
      </c>
      <c r="B78" s="41" t="s">
        <v>151</v>
      </c>
      <c r="C78" s="11" t="s">
        <v>153</v>
      </c>
      <c r="D78" s="11">
        <v>2017</v>
      </c>
      <c r="E78" s="39">
        <f>SUM(F78:H78)</f>
        <v>4341</v>
      </c>
      <c r="F78" s="39">
        <v>0</v>
      </c>
      <c r="G78" s="39">
        <v>0</v>
      </c>
      <c r="H78" s="39">
        <v>4341</v>
      </c>
      <c r="I78" s="94">
        <f>SUM(J78:L78)</f>
        <v>4056.1022600000001</v>
      </c>
      <c r="J78" s="94">
        <v>0</v>
      </c>
      <c r="K78" s="94">
        <v>0</v>
      </c>
      <c r="L78" s="89">
        <v>4056.1022600000001</v>
      </c>
    </row>
    <row r="79" spans="1:12" s="54" customFormat="1" ht="63">
      <c r="A79" s="16" t="s">
        <v>155</v>
      </c>
      <c r="B79" s="8" t="s">
        <v>154</v>
      </c>
      <c r="C79" s="53"/>
      <c r="D79" s="53"/>
      <c r="E79" s="42"/>
      <c r="F79" s="42"/>
      <c r="G79" s="42"/>
      <c r="H79" s="42"/>
      <c r="I79" s="111"/>
      <c r="J79" s="111"/>
      <c r="K79" s="111"/>
      <c r="L79" s="97"/>
    </row>
    <row r="80" spans="1:12" s="37" customFormat="1" ht="47.25">
      <c r="A80" s="40" t="s">
        <v>157</v>
      </c>
      <c r="B80" s="41" t="s">
        <v>156</v>
      </c>
      <c r="C80" s="55" t="s">
        <v>59</v>
      </c>
      <c r="D80" s="55" t="s">
        <v>33</v>
      </c>
      <c r="E80" s="56">
        <f>SUM(F80:H80)</f>
        <v>46083.19</v>
      </c>
      <c r="F80" s="56">
        <v>24661.1</v>
      </c>
      <c r="G80" s="56">
        <v>21422.09</v>
      </c>
      <c r="H80" s="56">
        <v>0</v>
      </c>
      <c r="I80" s="94">
        <f>SUM(J80:L80)</f>
        <v>5077.74</v>
      </c>
      <c r="J80" s="94">
        <v>2398.29</v>
      </c>
      <c r="K80" s="94">
        <v>0</v>
      </c>
      <c r="L80" s="94">
        <v>2679.45</v>
      </c>
    </row>
    <row r="81" spans="1:12" s="37" customFormat="1" ht="141.75">
      <c r="A81" s="3" t="s">
        <v>159</v>
      </c>
      <c r="B81" s="38" t="s">
        <v>158</v>
      </c>
      <c r="C81" s="4" t="s">
        <v>153</v>
      </c>
      <c r="D81" s="4" t="s">
        <v>33</v>
      </c>
      <c r="E81" s="39">
        <f>SUM(F81:H81)</f>
        <v>0</v>
      </c>
      <c r="F81" s="20">
        <v>0</v>
      </c>
      <c r="G81" s="20">
        <v>0</v>
      </c>
      <c r="H81" s="20">
        <v>0</v>
      </c>
      <c r="I81" s="94">
        <v>0</v>
      </c>
      <c r="J81" s="94">
        <v>0</v>
      </c>
      <c r="K81" s="94">
        <v>0</v>
      </c>
      <c r="L81" s="85">
        <v>0</v>
      </c>
    </row>
    <row r="82" spans="1:12" s="37" customFormat="1" ht="110.25">
      <c r="A82" s="40" t="s">
        <v>161</v>
      </c>
      <c r="B82" s="41" t="s">
        <v>160</v>
      </c>
      <c r="C82" s="11" t="s">
        <v>62</v>
      </c>
      <c r="D82" s="4" t="s">
        <v>33</v>
      </c>
      <c r="E82" s="39">
        <f>SUM(F82:H82)</f>
        <v>288</v>
      </c>
      <c r="F82" s="20">
        <v>0</v>
      </c>
      <c r="G82" s="20">
        <v>0</v>
      </c>
      <c r="H82" s="39">
        <v>288</v>
      </c>
      <c r="I82" s="94">
        <f>SUM(J82:L82)</f>
        <v>0</v>
      </c>
      <c r="J82" s="94">
        <v>0</v>
      </c>
      <c r="K82" s="94">
        <v>0</v>
      </c>
      <c r="L82" s="89">
        <v>0</v>
      </c>
    </row>
    <row r="83" spans="1:12" s="54" customFormat="1" ht="47.25">
      <c r="A83" s="16" t="s">
        <v>163</v>
      </c>
      <c r="B83" s="8" t="s">
        <v>162</v>
      </c>
      <c r="C83" s="53"/>
      <c r="D83" s="53"/>
      <c r="E83" s="42"/>
      <c r="F83" s="42"/>
      <c r="G83" s="42"/>
      <c r="H83" s="42"/>
      <c r="I83" s="111"/>
      <c r="J83" s="111"/>
      <c r="K83" s="111"/>
      <c r="L83" s="97"/>
    </row>
    <row r="84" spans="1:12" s="37" customFormat="1" ht="63">
      <c r="A84" s="3" t="s">
        <v>165</v>
      </c>
      <c r="B84" s="38" t="s">
        <v>164</v>
      </c>
      <c r="C84" s="4" t="s">
        <v>166</v>
      </c>
      <c r="D84" s="4" t="s">
        <v>33</v>
      </c>
      <c r="E84" s="20">
        <v>0</v>
      </c>
      <c r="F84" s="20">
        <v>0</v>
      </c>
      <c r="G84" s="20">
        <v>0</v>
      </c>
      <c r="H84" s="20">
        <v>0</v>
      </c>
      <c r="I84" s="94">
        <v>0</v>
      </c>
      <c r="J84" s="94">
        <v>0</v>
      </c>
      <c r="K84" s="94">
        <v>0</v>
      </c>
      <c r="L84" s="85">
        <v>0</v>
      </c>
    </row>
    <row r="85" spans="1:12" s="37" customFormat="1" ht="94.5">
      <c r="A85" s="3" t="s">
        <v>168</v>
      </c>
      <c r="B85" s="38" t="s">
        <v>167</v>
      </c>
      <c r="C85" s="4" t="s">
        <v>62</v>
      </c>
      <c r="D85" s="4" t="s">
        <v>33</v>
      </c>
      <c r="E85" s="20">
        <v>0</v>
      </c>
      <c r="F85" s="20">
        <v>0</v>
      </c>
      <c r="G85" s="20">
        <v>0</v>
      </c>
      <c r="H85" s="20">
        <v>0</v>
      </c>
      <c r="I85" s="94">
        <v>0</v>
      </c>
      <c r="J85" s="94">
        <v>0</v>
      </c>
      <c r="K85" s="94">
        <v>0</v>
      </c>
      <c r="L85" s="85">
        <v>0</v>
      </c>
    </row>
    <row r="86" spans="1:12" s="52" customFormat="1" ht="38.25">
      <c r="A86" s="49"/>
      <c r="B86" s="29" t="s">
        <v>169</v>
      </c>
      <c r="C86" s="13" t="s">
        <v>62</v>
      </c>
      <c r="D86" s="13" t="s">
        <v>33</v>
      </c>
      <c r="E86" s="33">
        <v>0</v>
      </c>
      <c r="F86" s="33">
        <v>0</v>
      </c>
      <c r="G86" s="33">
        <v>0</v>
      </c>
      <c r="H86" s="33">
        <v>0</v>
      </c>
      <c r="I86" s="93">
        <v>0</v>
      </c>
      <c r="J86" s="93">
        <v>0</v>
      </c>
      <c r="K86" s="93">
        <v>0</v>
      </c>
      <c r="L86" s="86">
        <v>0</v>
      </c>
    </row>
    <row r="87" spans="1:12" s="52" customFormat="1" ht="25.5">
      <c r="A87" s="49"/>
      <c r="B87" s="29" t="s">
        <v>170</v>
      </c>
      <c r="C87" s="13" t="s">
        <v>62</v>
      </c>
      <c r="D87" s="13" t="s">
        <v>33</v>
      </c>
      <c r="E87" s="33">
        <v>0</v>
      </c>
      <c r="F87" s="33">
        <v>0</v>
      </c>
      <c r="G87" s="33">
        <v>0</v>
      </c>
      <c r="H87" s="33">
        <v>0</v>
      </c>
      <c r="I87" s="93">
        <v>0</v>
      </c>
      <c r="J87" s="93">
        <v>0</v>
      </c>
      <c r="K87" s="93">
        <v>0</v>
      </c>
      <c r="L87" s="86">
        <v>0</v>
      </c>
    </row>
    <row r="88" spans="1:12" s="52" customFormat="1" ht="38.25">
      <c r="A88" s="49"/>
      <c r="B88" s="29" t="s">
        <v>171</v>
      </c>
      <c r="C88" s="13" t="s">
        <v>62</v>
      </c>
      <c r="D88" s="13" t="s">
        <v>33</v>
      </c>
      <c r="E88" s="33">
        <v>0</v>
      </c>
      <c r="F88" s="33">
        <v>0</v>
      </c>
      <c r="G88" s="33">
        <v>0</v>
      </c>
      <c r="H88" s="33">
        <v>0</v>
      </c>
      <c r="I88" s="93">
        <v>0</v>
      </c>
      <c r="J88" s="93">
        <v>0</v>
      </c>
      <c r="K88" s="93">
        <v>0</v>
      </c>
      <c r="L88" s="86">
        <v>0</v>
      </c>
    </row>
    <row r="89" spans="1:12" s="52" customFormat="1" ht="51">
      <c r="A89" s="49"/>
      <c r="B89" s="29" t="s">
        <v>172</v>
      </c>
      <c r="C89" s="13" t="s">
        <v>173</v>
      </c>
      <c r="D89" s="13" t="s">
        <v>33</v>
      </c>
      <c r="E89" s="33">
        <v>0</v>
      </c>
      <c r="F89" s="33">
        <v>0</v>
      </c>
      <c r="G89" s="33">
        <v>0</v>
      </c>
      <c r="H89" s="33">
        <v>0</v>
      </c>
      <c r="I89" s="93">
        <v>0</v>
      </c>
      <c r="J89" s="93">
        <v>0</v>
      </c>
      <c r="K89" s="93">
        <v>0</v>
      </c>
      <c r="L89" s="86">
        <v>0</v>
      </c>
    </row>
    <row r="90" spans="1:12" s="37" customFormat="1" ht="133.5" customHeight="1">
      <c r="A90" s="3" t="s">
        <v>175</v>
      </c>
      <c r="B90" s="38" t="s">
        <v>174</v>
      </c>
      <c r="C90" s="4" t="s">
        <v>176</v>
      </c>
      <c r="D90" s="4" t="s">
        <v>33</v>
      </c>
      <c r="E90" s="20">
        <v>0</v>
      </c>
      <c r="F90" s="20">
        <v>0</v>
      </c>
      <c r="G90" s="20">
        <v>0</v>
      </c>
      <c r="H90" s="20">
        <v>0</v>
      </c>
      <c r="I90" s="94">
        <v>0</v>
      </c>
      <c r="J90" s="94">
        <v>0</v>
      </c>
      <c r="K90" s="94">
        <v>0</v>
      </c>
      <c r="L90" s="85">
        <v>0</v>
      </c>
    </row>
    <row r="91" spans="1:12" s="37" customFormat="1" ht="94.5">
      <c r="A91" s="3" t="s">
        <v>178</v>
      </c>
      <c r="B91" s="38" t="s">
        <v>177</v>
      </c>
      <c r="C91" s="4"/>
      <c r="D91" s="4" t="s">
        <v>33</v>
      </c>
      <c r="E91" s="20">
        <v>0</v>
      </c>
      <c r="F91" s="20">
        <v>0</v>
      </c>
      <c r="G91" s="20">
        <v>0</v>
      </c>
      <c r="H91" s="20">
        <v>0</v>
      </c>
      <c r="I91" s="94">
        <v>0</v>
      </c>
      <c r="J91" s="94">
        <v>0</v>
      </c>
      <c r="K91" s="94">
        <v>0</v>
      </c>
      <c r="L91" s="85">
        <v>0</v>
      </c>
    </row>
    <row r="92" spans="1:12" s="18" customFormat="1" ht="38.25">
      <c r="A92" s="49"/>
      <c r="B92" s="29" t="s">
        <v>179</v>
      </c>
      <c r="C92" s="13" t="s">
        <v>173</v>
      </c>
      <c r="D92" s="13" t="s">
        <v>33</v>
      </c>
      <c r="E92" s="33">
        <v>0</v>
      </c>
      <c r="F92" s="33">
        <v>0</v>
      </c>
      <c r="G92" s="33">
        <v>0</v>
      </c>
      <c r="H92" s="33">
        <v>0</v>
      </c>
      <c r="I92" s="93">
        <v>0</v>
      </c>
      <c r="J92" s="93">
        <v>0</v>
      </c>
      <c r="K92" s="93">
        <v>0</v>
      </c>
      <c r="L92" s="86">
        <v>0</v>
      </c>
    </row>
    <row r="93" spans="1:12" s="18" customFormat="1" ht="38.25">
      <c r="A93" s="49"/>
      <c r="B93" s="29" t="s">
        <v>180</v>
      </c>
      <c r="C93" s="13" t="s">
        <v>173</v>
      </c>
      <c r="D93" s="13" t="s">
        <v>33</v>
      </c>
      <c r="E93" s="33">
        <v>0</v>
      </c>
      <c r="F93" s="33">
        <v>0</v>
      </c>
      <c r="G93" s="33">
        <v>0</v>
      </c>
      <c r="H93" s="33">
        <v>0</v>
      </c>
      <c r="I93" s="93">
        <v>0</v>
      </c>
      <c r="J93" s="93">
        <v>0</v>
      </c>
      <c r="K93" s="93">
        <v>0</v>
      </c>
      <c r="L93" s="86">
        <v>0</v>
      </c>
    </row>
    <row r="94" spans="1:12" s="18" customFormat="1" ht="51">
      <c r="A94" s="49"/>
      <c r="B94" s="29" t="s">
        <v>181</v>
      </c>
      <c r="C94" s="13" t="s">
        <v>182</v>
      </c>
      <c r="D94" s="13" t="s">
        <v>33</v>
      </c>
      <c r="E94" s="33">
        <v>0</v>
      </c>
      <c r="F94" s="33">
        <v>0</v>
      </c>
      <c r="G94" s="33">
        <v>0</v>
      </c>
      <c r="H94" s="33">
        <v>0</v>
      </c>
      <c r="I94" s="93">
        <v>0</v>
      </c>
      <c r="J94" s="93">
        <v>0</v>
      </c>
      <c r="K94" s="93">
        <v>0</v>
      </c>
      <c r="L94" s="86">
        <v>0</v>
      </c>
    </row>
    <row r="95" spans="1:12" s="12" customFormat="1" ht="18.75" customHeight="1">
      <c r="A95" s="995" t="s">
        <v>7</v>
      </c>
      <c r="B95" s="995"/>
      <c r="C95" s="995"/>
      <c r="D95" s="995"/>
      <c r="E95" s="42">
        <f t="shared" ref="E95:L95" si="16">SUM(E9,E13:E18,E21:E22,E26,E28:E33,E37:E38,E42,E48:E49,E56,E63,E65,E70,E72,E76:E78,E80:E80,E81,E82,E84:E85,E90:E91)</f>
        <v>264289.11800000002</v>
      </c>
      <c r="F95" s="42">
        <f t="shared" si="16"/>
        <v>87920.13</v>
      </c>
      <c r="G95" s="241">
        <f t="shared" si="16"/>
        <v>41753.661999999997</v>
      </c>
      <c r="H95" s="42">
        <f t="shared" si="16"/>
        <v>134615.326</v>
      </c>
      <c r="I95" s="111">
        <f t="shared" si="16"/>
        <v>81380.282260000007</v>
      </c>
      <c r="J95" s="111">
        <f t="shared" si="16"/>
        <v>34068.959999999999</v>
      </c>
      <c r="K95" s="242">
        <f t="shared" si="16"/>
        <v>1807.67</v>
      </c>
      <c r="L95" s="111">
        <f t="shared" si="16"/>
        <v>45503.652260000003</v>
      </c>
    </row>
    <row r="96" spans="1:12">
      <c r="A96" s="7"/>
      <c r="G96" s="98"/>
    </row>
    <row r="97" spans="1:12">
      <c r="A97" s="7"/>
      <c r="B97" s="19"/>
      <c r="E97" s="112"/>
      <c r="F97" s="112"/>
      <c r="G97" s="112"/>
      <c r="H97" s="112"/>
      <c r="L97" s="112"/>
    </row>
    <row r="98" spans="1:12">
      <c r="A98" s="7"/>
      <c r="E98" s="112"/>
      <c r="F98" s="112"/>
      <c r="G98" s="112"/>
      <c r="H98" s="112"/>
    </row>
    <row r="99" spans="1:12">
      <c r="A99" s="62" t="s">
        <v>8</v>
      </c>
      <c r="B99" s="63"/>
      <c r="C99" s="64"/>
      <c r="D99" s="64"/>
      <c r="E99" s="99"/>
      <c r="F99" s="100"/>
      <c r="G99" s="101"/>
      <c r="H99" s="101"/>
      <c r="I99" s="101"/>
      <c r="J99" s="101"/>
    </row>
    <row r="100" spans="1:12">
      <c r="A100" s="65"/>
      <c r="B100" s="66"/>
      <c r="C100" s="67"/>
      <c r="D100" s="67"/>
      <c r="E100" s="102"/>
      <c r="F100" s="103"/>
      <c r="G100" s="104"/>
      <c r="H100" s="104"/>
      <c r="I100" s="104"/>
      <c r="J100" s="104" t="s">
        <v>9</v>
      </c>
    </row>
    <row r="101" spans="1:12">
      <c r="A101" s="65"/>
      <c r="B101" s="983" t="s">
        <v>10</v>
      </c>
      <c r="C101" s="984"/>
      <c r="D101" s="985"/>
      <c r="E101" s="986" t="s">
        <v>11</v>
      </c>
      <c r="F101" s="987"/>
      <c r="G101" s="988"/>
      <c r="H101" s="986" t="s">
        <v>12</v>
      </c>
      <c r="I101" s="987"/>
      <c r="J101" s="988"/>
    </row>
    <row r="102" spans="1:12" ht="31.5">
      <c r="A102" s="65"/>
      <c r="B102" s="68" t="s">
        <v>13</v>
      </c>
      <c r="C102" s="68" t="s">
        <v>14</v>
      </c>
      <c r="D102" s="68" t="s">
        <v>15</v>
      </c>
      <c r="E102" s="105" t="s">
        <v>13</v>
      </c>
      <c r="F102" s="105" t="s">
        <v>14</v>
      </c>
      <c r="G102" s="105" t="s">
        <v>15</v>
      </c>
      <c r="H102" s="105" t="s">
        <v>13</v>
      </c>
      <c r="I102" s="105" t="s">
        <v>14</v>
      </c>
      <c r="J102" s="105" t="s">
        <v>15</v>
      </c>
    </row>
    <row r="103" spans="1:12">
      <c r="A103" s="69"/>
      <c r="B103" s="70">
        <f>C103+D103</f>
        <v>264289.09999999998</v>
      </c>
      <c r="C103" s="70">
        <f>41753.7</f>
        <v>41753.699999999997</v>
      </c>
      <c r="D103" s="70">
        <f>87920.1+134615.3</f>
        <v>222535.4</v>
      </c>
      <c r="E103" s="106">
        <f>F103+G103</f>
        <v>81380.282259999993</v>
      </c>
      <c r="F103" s="106">
        <f>K95</f>
        <v>1807.67</v>
      </c>
      <c r="G103" s="106">
        <f>J95+L95</f>
        <v>79572.612259999994</v>
      </c>
      <c r="H103" s="107">
        <f>B103-E103</f>
        <v>182908.81773999997</v>
      </c>
      <c r="I103" s="107">
        <f>C103-F103</f>
        <v>39946.03</v>
      </c>
      <c r="J103" s="107">
        <f>G103-D103</f>
        <v>-142962.78774</v>
      </c>
    </row>
    <row r="104" spans="1:12">
      <c r="A104" s="7"/>
    </row>
    <row r="105" spans="1:12">
      <c r="A105" s="7"/>
    </row>
    <row r="106" spans="1:12">
      <c r="A106" s="7"/>
    </row>
    <row r="107" spans="1:12">
      <c r="A107" s="7"/>
    </row>
    <row r="108" spans="1:12">
      <c r="A108" s="7"/>
    </row>
    <row r="109" spans="1:12">
      <c r="A109" s="7"/>
    </row>
    <row r="110" spans="1:12">
      <c r="A110" s="7"/>
    </row>
    <row r="111" spans="1:12">
      <c r="A111" s="7"/>
    </row>
    <row r="112" spans="1:12">
      <c r="A112" s="7"/>
    </row>
    <row r="113" spans="1:1">
      <c r="A113" s="7"/>
    </row>
    <row r="114" spans="1:1">
      <c r="A114" s="7"/>
    </row>
    <row r="115" spans="1:1">
      <c r="A115" s="7"/>
    </row>
    <row r="116" spans="1:1">
      <c r="A116" s="7"/>
    </row>
    <row r="117" spans="1:1">
      <c r="A117" s="7"/>
    </row>
    <row r="118" spans="1:1">
      <c r="A118" s="7"/>
    </row>
    <row r="119" spans="1:1">
      <c r="A119" s="7"/>
    </row>
    <row r="120" spans="1:1">
      <c r="A120" s="7"/>
    </row>
    <row r="121" spans="1:1">
      <c r="A121" s="7"/>
    </row>
    <row r="122" spans="1:1">
      <c r="A122" s="7"/>
    </row>
    <row r="123" spans="1:1">
      <c r="A123" s="7"/>
    </row>
    <row r="124" spans="1:1">
      <c r="A124" s="7"/>
    </row>
    <row r="125" spans="1:1">
      <c r="A125" s="7"/>
    </row>
    <row r="126" spans="1:1">
      <c r="A126" s="7"/>
    </row>
    <row r="127" spans="1:1">
      <c r="A127" s="7"/>
    </row>
    <row r="128" spans="1:1">
      <c r="A128" s="7"/>
    </row>
    <row r="129" spans="1:1">
      <c r="A129" s="7"/>
    </row>
    <row r="130" spans="1:1">
      <c r="A130" s="7"/>
    </row>
    <row r="131" spans="1:1">
      <c r="A131" s="7"/>
    </row>
    <row r="132" spans="1:1">
      <c r="A132" s="7"/>
    </row>
    <row r="133" spans="1:1">
      <c r="A133" s="7"/>
    </row>
    <row r="134" spans="1:1">
      <c r="A134" s="7"/>
    </row>
    <row r="135" spans="1:1">
      <c r="A135" s="7"/>
    </row>
    <row r="136" spans="1:1">
      <c r="A136" s="7"/>
    </row>
    <row r="137" spans="1:1">
      <c r="A137" s="7"/>
    </row>
    <row r="138" spans="1:1">
      <c r="A138" s="7"/>
    </row>
    <row r="139" spans="1:1">
      <c r="A139" s="7"/>
    </row>
    <row r="140" spans="1:1">
      <c r="A140" s="7"/>
    </row>
    <row r="141" spans="1:1">
      <c r="A141" s="7"/>
    </row>
    <row r="142" spans="1:1">
      <c r="A142" s="7"/>
    </row>
    <row r="143" spans="1:1">
      <c r="A143" s="7"/>
    </row>
    <row r="144" spans="1:1">
      <c r="A144" s="7"/>
    </row>
    <row r="145" spans="1:1">
      <c r="A145" s="7"/>
    </row>
    <row r="146" spans="1:1">
      <c r="A146" s="7"/>
    </row>
    <row r="147" spans="1:1">
      <c r="A147" s="7"/>
    </row>
    <row r="148" spans="1:1">
      <c r="A148" s="7"/>
    </row>
    <row r="149" spans="1:1">
      <c r="A149" s="7"/>
    </row>
    <row r="150" spans="1:1">
      <c r="A150" s="7"/>
    </row>
    <row r="151" spans="1:1">
      <c r="A151" s="7"/>
    </row>
    <row r="152" spans="1:1">
      <c r="A152" s="7"/>
    </row>
    <row r="153" spans="1:1">
      <c r="A153" s="7"/>
    </row>
    <row r="154" spans="1:1">
      <c r="A154" s="7"/>
    </row>
    <row r="155" spans="1:1">
      <c r="A155" s="7"/>
    </row>
    <row r="156" spans="1:1">
      <c r="A156" s="7"/>
    </row>
    <row r="157" spans="1:1">
      <c r="A157" s="7"/>
    </row>
    <row r="158" spans="1:1">
      <c r="A158" s="7"/>
    </row>
    <row r="159" spans="1:1">
      <c r="A159" s="7"/>
    </row>
    <row r="160" spans="1:1">
      <c r="A160" s="7"/>
    </row>
    <row r="161" spans="1:1">
      <c r="A161" s="7"/>
    </row>
    <row r="162" spans="1:1">
      <c r="A162" s="7"/>
    </row>
    <row r="163" spans="1:1">
      <c r="A163" s="7"/>
    </row>
    <row r="164" spans="1:1">
      <c r="A164" s="7"/>
    </row>
    <row r="165" spans="1:1">
      <c r="A165" s="7"/>
    </row>
    <row r="166" spans="1:1">
      <c r="A166" s="7"/>
    </row>
    <row r="167" spans="1:1">
      <c r="A167" s="7"/>
    </row>
    <row r="168" spans="1:1">
      <c r="A168" s="7"/>
    </row>
    <row r="169" spans="1:1">
      <c r="A169" s="7"/>
    </row>
    <row r="170" spans="1:1">
      <c r="A170" s="7"/>
    </row>
    <row r="171" spans="1:1">
      <c r="A171" s="7"/>
    </row>
    <row r="172" spans="1:1">
      <c r="A172" s="7"/>
    </row>
    <row r="173" spans="1:1">
      <c r="A173" s="7"/>
    </row>
    <row r="174" spans="1:1">
      <c r="A174" s="7"/>
    </row>
    <row r="175" spans="1:1">
      <c r="A175" s="7"/>
    </row>
    <row r="176" spans="1:1">
      <c r="A176" s="7"/>
    </row>
    <row r="177" spans="1:1">
      <c r="A177" s="7"/>
    </row>
    <row r="178" spans="1:1">
      <c r="A178" s="7"/>
    </row>
    <row r="179" spans="1:1">
      <c r="A179" s="7"/>
    </row>
    <row r="180" spans="1:1">
      <c r="A180" s="7"/>
    </row>
    <row r="181" spans="1:1">
      <c r="A181" s="7"/>
    </row>
    <row r="182" spans="1:1">
      <c r="A182" s="7"/>
    </row>
    <row r="183" spans="1:1">
      <c r="A183" s="7"/>
    </row>
    <row r="184" spans="1:1">
      <c r="A184" s="7"/>
    </row>
    <row r="185" spans="1:1">
      <c r="A185" s="7"/>
    </row>
    <row r="186" spans="1:1">
      <c r="A186" s="7"/>
    </row>
    <row r="187" spans="1:1">
      <c r="A187" s="7"/>
    </row>
    <row r="188" spans="1:1">
      <c r="A188" s="7"/>
    </row>
    <row r="189" spans="1:1">
      <c r="A189" s="7"/>
    </row>
    <row r="190" spans="1:1">
      <c r="A190" s="7"/>
    </row>
    <row r="191" spans="1:1">
      <c r="A191" s="7"/>
    </row>
    <row r="192" spans="1:1">
      <c r="A192" s="7"/>
    </row>
    <row r="193" spans="1:1">
      <c r="A193" s="7"/>
    </row>
    <row r="194" spans="1:1">
      <c r="A194" s="7"/>
    </row>
    <row r="195" spans="1:1">
      <c r="A195" s="7"/>
    </row>
    <row r="196" spans="1:1">
      <c r="A196" s="7"/>
    </row>
    <row r="197" spans="1:1">
      <c r="A197" s="7"/>
    </row>
    <row r="198" spans="1:1">
      <c r="A198" s="7"/>
    </row>
    <row r="199" spans="1:1">
      <c r="A199" s="7"/>
    </row>
    <row r="200" spans="1:1">
      <c r="A200" s="7"/>
    </row>
    <row r="201" spans="1:1">
      <c r="A201" s="7"/>
    </row>
    <row r="202" spans="1:1">
      <c r="A202" s="7"/>
    </row>
    <row r="203" spans="1:1">
      <c r="A203" s="7"/>
    </row>
    <row r="204" spans="1:1">
      <c r="A204" s="7"/>
    </row>
    <row r="205" spans="1:1">
      <c r="A205" s="7"/>
    </row>
    <row r="206" spans="1:1">
      <c r="A206" s="7"/>
    </row>
    <row r="207" spans="1:1">
      <c r="A207" s="7"/>
    </row>
    <row r="208" spans="1:1">
      <c r="A208" s="7"/>
    </row>
    <row r="209" spans="1:1">
      <c r="A209" s="7"/>
    </row>
    <row r="210" spans="1:1">
      <c r="A210" s="7"/>
    </row>
    <row r="211" spans="1:1">
      <c r="A211" s="7"/>
    </row>
    <row r="212" spans="1:1">
      <c r="A212" s="7"/>
    </row>
    <row r="213" spans="1:1">
      <c r="A213" s="7"/>
    </row>
    <row r="214" spans="1:1">
      <c r="A214" s="7"/>
    </row>
    <row r="215" spans="1:1">
      <c r="A215" s="7"/>
    </row>
    <row r="216" spans="1:1">
      <c r="A216" s="7"/>
    </row>
    <row r="217" spans="1:1">
      <c r="A217" s="7"/>
    </row>
    <row r="218" spans="1:1">
      <c r="A218" s="7"/>
    </row>
    <row r="219" spans="1:1">
      <c r="A219" s="7"/>
    </row>
    <row r="220" spans="1:1">
      <c r="A220" s="7"/>
    </row>
    <row r="221" spans="1:1">
      <c r="A221" s="7"/>
    </row>
    <row r="222" spans="1:1">
      <c r="A222" s="7"/>
    </row>
    <row r="223" spans="1:1">
      <c r="A223" s="7"/>
    </row>
    <row r="224" spans="1:1">
      <c r="A224" s="7"/>
    </row>
    <row r="225" spans="1:1">
      <c r="A225" s="7"/>
    </row>
    <row r="226" spans="1:1">
      <c r="A226" s="7"/>
    </row>
    <row r="227" spans="1:1">
      <c r="A227" s="7"/>
    </row>
    <row r="228" spans="1:1">
      <c r="A228" s="7"/>
    </row>
    <row r="229" spans="1:1">
      <c r="A229" s="7"/>
    </row>
    <row r="230" spans="1:1">
      <c r="A230" s="7"/>
    </row>
    <row r="231" spans="1:1">
      <c r="A231" s="7"/>
    </row>
    <row r="232" spans="1:1">
      <c r="A232" s="7"/>
    </row>
    <row r="233" spans="1:1">
      <c r="A233" s="7"/>
    </row>
    <row r="234" spans="1:1">
      <c r="A234" s="7"/>
    </row>
    <row r="235" spans="1:1">
      <c r="A235" s="7"/>
    </row>
    <row r="236" spans="1:1">
      <c r="A236" s="7"/>
    </row>
    <row r="237" spans="1:1">
      <c r="A237" s="7"/>
    </row>
    <row r="238" spans="1:1">
      <c r="A238" s="7"/>
    </row>
    <row r="239" spans="1:1">
      <c r="A239" s="7"/>
    </row>
    <row r="240" spans="1:1">
      <c r="A240" s="7"/>
    </row>
    <row r="241" spans="1:1">
      <c r="A241" s="7"/>
    </row>
    <row r="242" spans="1:1">
      <c r="A242" s="7"/>
    </row>
    <row r="243" spans="1:1">
      <c r="A243" s="7"/>
    </row>
    <row r="244" spans="1:1">
      <c r="A244" s="7"/>
    </row>
    <row r="245" spans="1:1">
      <c r="A245" s="7"/>
    </row>
    <row r="246" spans="1:1">
      <c r="A246" s="7"/>
    </row>
    <row r="247" spans="1:1">
      <c r="A247" s="7"/>
    </row>
    <row r="248" spans="1:1">
      <c r="A248" s="7"/>
    </row>
    <row r="249" spans="1:1">
      <c r="A249" s="7"/>
    </row>
    <row r="250" spans="1:1">
      <c r="A250" s="7"/>
    </row>
    <row r="251" spans="1:1">
      <c r="A251" s="7"/>
    </row>
    <row r="252" spans="1:1">
      <c r="A252" s="7"/>
    </row>
    <row r="253" spans="1:1">
      <c r="A253" s="7"/>
    </row>
    <row r="254" spans="1:1">
      <c r="A254" s="7"/>
    </row>
    <row r="255" spans="1:1">
      <c r="A255" s="7"/>
    </row>
    <row r="256" spans="1:1">
      <c r="A256" s="7"/>
    </row>
    <row r="257" spans="1:1">
      <c r="A257" s="7"/>
    </row>
    <row r="258" spans="1:1">
      <c r="A258" s="7"/>
    </row>
    <row r="259" spans="1:1">
      <c r="A259" s="7"/>
    </row>
    <row r="260" spans="1:1">
      <c r="A260" s="7"/>
    </row>
    <row r="261" spans="1:1">
      <c r="A261" s="7"/>
    </row>
    <row r="262" spans="1:1">
      <c r="A262" s="7"/>
    </row>
    <row r="263" spans="1:1">
      <c r="A263" s="7"/>
    </row>
    <row r="264" spans="1:1">
      <c r="A264" s="7"/>
    </row>
    <row r="265" spans="1:1">
      <c r="A265" s="7"/>
    </row>
    <row r="266" spans="1:1">
      <c r="A266" s="7"/>
    </row>
    <row r="267" spans="1:1">
      <c r="A267" s="7"/>
    </row>
    <row r="268" spans="1:1">
      <c r="A268" s="7"/>
    </row>
    <row r="269" spans="1:1">
      <c r="A269" s="7"/>
    </row>
    <row r="270" spans="1:1">
      <c r="A270" s="7"/>
    </row>
    <row r="271" spans="1:1">
      <c r="A271" s="7"/>
    </row>
    <row r="272" spans="1:1">
      <c r="A272" s="7"/>
    </row>
    <row r="273" spans="1:1">
      <c r="A273" s="7"/>
    </row>
    <row r="274" spans="1:1">
      <c r="A274" s="7"/>
    </row>
    <row r="275" spans="1:1">
      <c r="A275" s="7"/>
    </row>
    <row r="276" spans="1:1">
      <c r="A276" s="7"/>
    </row>
    <row r="277" spans="1:1">
      <c r="A277" s="7"/>
    </row>
    <row r="278" spans="1:1">
      <c r="A278" s="7"/>
    </row>
    <row r="279" spans="1:1">
      <c r="A279" s="7"/>
    </row>
    <row r="280" spans="1:1">
      <c r="A280" s="7"/>
    </row>
    <row r="281" spans="1:1">
      <c r="A281" s="7"/>
    </row>
    <row r="282" spans="1:1">
      <c r="A282" s="7"/>
    </row>
    <row r="283" spans="1:1">
      <c r="A283" s="7"/>
    </row>
    <row r="284" spans="1:1">
      <c r="A284" s="7"/>
    </row>
    <row r="285" spans="1:1">
      <c r="A285" s="7"/>
    </row>
    <row r="286" spans="1:1">
      <c r="A286" s="7"/>
    </row>
    <row r="287" spans="1:1">
      <c r="A287" s="7"/>
    </row>
    <row r="288" spans="1:1">
      <c r="A288" s="7"/>
    </row>
    <row r="289" spans="1:1">
      <c r="A289" s="7"/>
    </row>
    <row r="290" spans="1:1">
      <c r="A290" s="7"/>
    </row>
    <row r="291" spans="1:1">
      <c r="A291" s="7"/>
    </row>
    <row r="292" spans="1:1">
      <c r="A292" s="7"/>
    </row>
    <row r="293" spans="1:1">
      <c r="A293" s="7"/>
    </row>
    <row r="294" spans="1:1">
      <c r="A294" s="7"/>
    </row>
    <row r="295" spans="1:1">
      <c r="A295" s="7"/>
    </row>
    <row r="296" spans="1:1">
      <c r="A296" s="7"/>
    </row>
    <row r="297" spans="1:1">
      <c r="A297" s="7"/>
    </row>
    <row r="298" spans="1:1">
      <c r="A298" s="7"/>
    </row>
    <row r="299" spans="1:1">
      <c r="A299" s="7"/>
    </row>
    <row r="300" spans="1:1">
      <c r="A300" s="7"/>
    </row>
    <row r="301" spans="1:1">
      <c r="A301" s="7"/>
    </row>
    <row r="302" spans="1:1">
      <c r="A302" s="7"/>
    </row>
    <row r="303" spans="1:1">
      <c r="A303" s="7"/>
    </row>
    <row r="304" spans="1:1">
      <c r="A304" s="7"/>
    </row>
    <row r="305" spans="1:1">
      <c r="A305" s="7"/>
    </row>
    <row r="306" spans="1:1">
      <c r="A306" s="7"/>
    </row>
    <row r="307" spans="1:1">
      <c r="A307" s="7"/>
    </row>
    <row r="308" spans="1:1">
      <c r="A308" s="7"/>
    </row>
    <row r="309" spans="1:1">
      <c r="A309" s="7"/>
    </row>
    <row r="310" spans="1:1">
      <c r="A310" s="7"/>
    </row>
    <row r="311" spans="1:1">
      <c r="A311" s="7"/>
    </row>
    <row r="312" spans="1:1">
      <c r="A312" s="7"/>
    </row>
    <row r="313" spans="1:1">
      <c r="A313" s="7"/>
    </row>
    <row r="314" spans="1:1">
      <c r="A314" s="7"/>
    </row>
    <row r="315" spans="1:1">
      <c r="A315" s="7"/>
    </row>
    <row r="316" spans="1:1">
      <c r="A316" s="7"/>
    </row>
    <row r="317" spans="1:1">
      <c r="A317" s="7"/>
    </row>
    <row r="318" spans="1:1">
      <c r="A318" s="7"/>
    </row>
    <row r="319" spans="1:1">
      <c r="A319" s="7"/>
    </row>
    <row r="320" spans="1:1">
      <c r="A320" s="7"/>
    </row>
    <row r="321" spans="1:1">
      <c r="A321" s="7"/>
    </row>
    <row r="322" spans="1:1">
      <c r="A322" s="7"/>
    </row>
    <row r="323" spans="1:1">
      <c r="A323" s="7"/>
    </row>
    <row r="324" spans="1:1">
      <c r="A324" s="7"/>
    </row>
    <row r="325" spans="1:1">
      <c r="A325" s="7"/>
    </row>
    <row r="326" spans="1:1">
      <c r="A326" s="7"/>
    </row>
    <row r="327" spans="1:1">
      <c r="A327" s="7"/>
    </row>
    <row r="328" spans="1:1">
      <c r="A328" s="7"/>
    </row>
    <row r="329" spans="1:1">
      <c r="A329" s="7"/>
    </row>
    <row r="330" spans="1:1">
      <c r="A330" s="7"/>
    </row>
    <row r="331" spans="1:1">
      <c r="A331" s="7"/>
    </row>
    <row r="332" spans="1:1">
      <c r="A332" s="7"/>
    </row>
    <row r="333" spans="1:1">
      <c r="A333" s="7"/>
    </row>
    <row r="334" spans="1:1">
      <c r="A334" s="7"/>
    </row>
    <row r="335" spans="1:1">
      <c r="A335" s="7"/>
    </row>
    <row r="336" spans="1:1">
      <c r="A336" s="7"/>
    </row>
    <row r="337" spans="1:1">
      <c r="A337" s="7"/>
    </row>
    <row r="338" spans="1:1">
      <c r="A338" s="7"/>
    </row>
    <row r="339" spans="1:1">
      <c r="A339" s="7"/>
    </row>
    <row r="340" spans="1:1">
      <c r="A340" s="7"/>
    </row>
    <row r="341" spans="1:1">
      <c r="A341" s="7"/>
    </row>
    <row r="342" spans="1:1">
      <c r="A342" s="7"/>
    </row>
    <row r="343" spans="1:1">
      <c r="A343" s="7"/>
    </row>
    <row r="344" spans="1:1">
      <c r="A344" s="7"/>
    </row>
    <row r="345" spans="1:1">
      <c r="A345" s="7"/>
    </row>
    <row r="346" spans="1:1">
      <c r="A346" s="7"/>
    </row>
    <row r="347" spans="1:1">
      <c r="A347" s="7"/>
    </row>
    <row r="348" spans="1:1">
      <c r="A348" s="7"/>
    </row>
    <row r="349" spans="1:1">
      <c r="A349" s="7"/>
    </row>
    <row r="350" spans="1:1">
      <c r="A350" s="7"/>
    </row>
    <row r="351" spans="1:1">
      <c r="A351" s="7"/>
    </row>
    <row r="352" spans="1:1">
      <c r="A352" s="7"/>
    </row>
    <row r="353" spans="1:1">
      <c r="A353" s="7"/>
    </row>
    <row r="354" spans="1:1">
      <c r="A354" s="7"/>
    </row>
    <row r="355" spans="1:1">
      <c r="A355" s="7"/>
    </row>
    <row r="356" spans="1:1">
      <c r="A356" s="7"/>
    </row>
    <row r="357" spans="1:1">
      <c r="A357" s="7"/>
    </row>
    <row r="358" spans="1:1">
      <c r="A358" s="7"/>
    </row>
    <row r="359" spans="1:1">
      <c r="A359" s="7"/>
    </row>
    <row r="360" spans="1:1">
      <c r="A360" s="7"/>
    </row>
    <row r="361" spans="1:1">
      <c r="A361" s="7"/>
    </row>
    <row r="362" spans="1:1">
      <c r="A362" s="7"/>
    </row>
    <row r="363" spans="1:1">
      <c r="A363" s="7"/>
    </row>
    <row r="364" spans="1:1">
      <c r="A364" s="7"/>
    </row>
    <row r="365" spans="1:1">
      <c r="A365" s="7"/>
    </row>
    <row r="366" spans="1:1">
      <c r="A366" s="7"/>
    </row>
    <row r="367" spans="1:1">
      <c r="A367" s="7"/>
    </row>
    <row r="368" spans="1:1">
      <c r="A368" s="7"/>
    </row>
    <row r="369" spans="1:1">
      <c r="A369" s="7"/>
    </row>
    <row r="370" spans="1:1">
      <c r="A370" s="7"/>
    </row>
    <row r="371" spans="1:1">
      <c r="A371" s="7"/>
    </row>
    <row r="372" spans="1:1">
      <c r="A372" s="7"/>
    </row>
    <row r="373" spans="1:1">
      <c r="A373" s="7"/>
    </row>
    <row r="374" spans="1:1">
      <c r="A374" s="7"/>
    </row>
    <row r="375" spans="1:1">
      <c r="A375" s="7"/>
    </row>
    <row r="376" spans="1:1">
      <c r="A376" s="7"/>
    </row>
    <row r="377" spans="1:1">
      <c r="A377" s="7"/>
    </row>
    <row r="378" spans="1:1">
      <c r="A378" s="7"/>
    </row>
    <row r="379" spans="1:1">
      <c r="A379" s="7"/>
    </row>
    <row r="380" spans="1:1">
      <c r="A380" s="7"/>
    </row>
    <row r="381" spans="1:1">
      <c r="A381" s="7"/>
    </row>
    <row r="382" spans="1:1">
      <c r="A382" s="7"/>
    </row>
    <row r="383" spans="1:1">
      <c r="A383" s="7"/>
    </row>
    <row r="384" spans="1:1">
      <c r="A384" s="7"/>
    </row>
    <row r="385" spans="1:1">
      <c r="A385" s="7"/>
    </row>
    <row r="386" spans="1:1">
      <c r="A386" s="7"/>
    </row>
    <row r="387" spans="1:1">
      <c r="A387" s="7"/>
    </row>
    <row r="388" spans="1:1">
      <c r="A388" s="7"/>
    </row>
    <row r="389" spans="1:1">
      <c r="A389" s="7"/>
    </row>
    <row r="390" spans="1:1">
      <c r="A390" s="7"/>
    </row>
    <row r="391" spans="1:1">
      <c r="A391" s="7"/>
    </row>
    <row r="392" spans="1:1">
      <c r="A392" s="7"/>
    </row>
    <row r="393" spans="1:1">
      <c r="A393" s="7"/>
    </row>
    <row r="394" spans="1:1">
      <c r="A394" s="7"/>
    </row>
    <row r="395" spans="1:1">
      <c r="A395" s="7"/>
    </row>
    <row r="396" spans="1:1">
      <c r="A396" s="7"/>
    </row>
    <row r="397" spans="1:1">
      <c r="A397" s="7"/>
    </row>
    <row r="398" spans="1:1">
      <c r="A398" s="7"/>
    </row>
    <row r="399" spans="1:1">
      <c r="A399" s="7"/>
    </row>
    <row r="400" spans="1:1">
      <c r="A400" s="7"/>
    </row>
    <row r="401" spans="1:1">
      <c r="A401" s="7"/>
    </row>
    <row r="402" spans="1:1">
      <c r="A402" s="7"/>
    </row>
    <row r="403" spans="1:1">
      <c r="A403" s="7"/>
    </row>
    <row r="404" spans="1:1">
      <c r="A404" s="7"/>
    </row>
    <row r="405" spans="1:1">
      <c r="A405" s="7"/>
    </row>
    <row r="406" spans="1:1">
      <c r="A406" s="7"/>
    </row>
    <row r="407" spans="1:1">
      <c r="A407" s="7"/>
    </row>
    <row r="408" spans="1:1">
      <c r="A408" s="7"/>
    </row>
    <row r="409" spans="1:1">
      <c r="A409" s="7"/>
    </row>
    <row r="410" spans="1:1">
      <c r="A410" s="7"/>
    </row>
    <row r="411" spans="1:1">
      <c r="A411" s="7"/>
    </row>
    <row r="412" spans="1:1">
      <c r="A412" s="7"/>
    </row>
    <row r="413" spans="1:1">
      <c r="A413" s="7"/>
    </row>
    <row r="414" spans="1:1">
      <c r="A414" s="7"/>
    </row>
    <row r="415" spans="1:1">
      <c r="A415" s="7"/>
    </row>
    <row r="416" spans="1:1">
      <c r="A416" s="7"/>
    </row>
    <row r="417" spans="1:1">
      <c r="A417" s="7"/>
    </row>
    <row r="418" spans="1:1">
      <c r="A418" s="7"/>
    </row>
    <row r="419" spans="1:1">
      <c r="A419" s="7"/>
    </row>
    <row r="420" spans="1:1">
      <c r="A420" s="7"/>
    </row>
    <row r="421" spans="1:1">
      <c r="A421" s="7"/>
    </row>
    <row r="422" spans="1:1">
      <c r="A422" s="7"/>
    </row>
    <row r="423" spans="1:1">
      <c r="A423" s="7"/>
    </row>
    <row r="424" spans="1:1">
      <c r="A424" s="7"/>
    </row>
    <row r="425" spans="1:1">
      <c r="A425" s="7"/>
    </row>
    <row r="426" spans="1:1">
      <c r="A426" s="7"/>
    </row>
    <row r="427" spans="1:1">
      <c r="A427" s="7"/>
    </row>
    <row r="428" spans="1:1">
      <c r="A428" s="7"/>
    </row>
    <row r="429" spans="1:1">
      <c r="A429" s="7"/>
    </row>
    <row r="430" spans="1:1">
      <c r="A430" s="7"/>
    </row>
    <row r="431" spans="1:1">
      <c r="A431" s="7"/>
    </row>
    <row r="432" spans="1:1">
      <c r="A432" s="7"/>
    </row>
    <row r="433" spans="1:1">
      <c r="A433" s="7"/>
    </row>
    <row r="434" spans="1:1">
      <c r="A434" s="7"/>
    </row>
    <row r="435" spans="1:1">
      <c r="A435" s="7"/>
    </row>
    <row r="436" spans="1:1">
      <c r="A436" s="7"/>
    </row>
    <row r="437" spans="1:1">
      <c r="A437" s="7"/>
    </row>
    <row r="438" spans="1:1">
      <c r="A438" s="7"/>
    </row>
    <row r="439" spans="1:1">
      <c r="A439" s="7"/>
    </row>
    <row r="440" spans="1:1">
      <c r="A440" s="7"/>
    </row>
    <row r="441" spans="1:1">
      <c r="A441" s="7"/>
    </row>
    <row r="442" spans="1:1">
      <c r="A442" s="7"/>
    </row>
    <row r="443" spans="1:1">
      <c r="A443" s="7"/>
    </row>
    <row r="444" spans="1:1">
      <c r="A444" s="7"/>
    </row>
    <row r="445" spans="1:1">
      <c r="A445" s="7"/>
    </row>
    <row r="446" spans="1:1">
      <c r="A446" s="7"/>
    </row>
    <row r="447" spans="1:1">
      <c r="A447" s="7"/>
    </row>
    <row r="448" spans="1:1">
      <c r="A448" s="7"/>
    </row>
    <row r="449" spans="1:1">
      <c r="A449" s="7"/>
    </row>
    <row r="450" spans="1:1">
      <c r="A450" s="7"/>
    </row>
    <row r="451" spans="1:1">
      <c r="A451" s="7"/>
    </row>
    <row r="452" spans="1:1">
      <c r="A452" s="7"/>
    </row>
    <row r="453" spans="1:1">
      <c r="A453" s="7"/>
    </row>
    <row r="454" spans="1:1">
      <c r="A454" s="7"/>
    </row>
    <row r="455" spans="1:1">
      <c r="A455" s="7"/>
    </row>
    <row r="456" spans="1:1">
      <c r="A456" s="7"/>
    </row>
    <row r="457" spans="1:1">
      <c r="A457" s="7"/>
    </row>
    <row r="458" spans="1:1">
      <c r="A458" s="7"/>
    </row>
    <row r="459" spans="1:1">
      <c r="A459" s="7"/>
    </row>
    <row r="460" spans="1:1">
      <c r="A460" s="7"/>
    </row>
    <row r="461" spans="1:1">
      <c r="A461" s="7"/>
    </row>
    <row r="462" spans="1:1">
      <c r="A462" s="7"/>
    </row>
    <row r="463" spans="1:1">
      <c r="A463" s="7"/>
    </row>
    <row r="464" spans="1:1">
      <c r="A464" s="7"/>
    </row>
    <row r="465" spans="1:1">
      <c r="A465" s="7"/>
    </row>
    <row r="466" spans="1:1">
      <c r="A466" s="7"/>
    </row>
    <row r="467" spans="1:1">
      <c r="A467" s="7"/>
    </row>
    <row r="468" spans="1:1">
      <c r="A468" s="7"/>
    </row>
    <row r="469" spans="1:1">
      <c r="A469" s="7"/>
    </row>
    <row r="470" spans="1:1">
      <c r="A470" s="7"/>
    </row>
    <row r="471" spans="1:1">
      <c r="A471" s="7"/>
    </row>
    <row r="472" spans="1:1">
      <c r="A472" s="7"/>
    </row>
    <row r="473" spans="1:1">
      <c r="A473" s="7"/>
    </row>
    <row r="474" spans="1:1">
      <c r="A474" s="7"/>
    </row>
    <row r="475" spans="1:1">
      <c r="A475" s="7"/>
    </row>
    <row r="476" spans="1:1">
      <c r="A476" s="7"/>
    </row>
    <row r="477" spans="1:1">
      <c r="A477" s="7"/>
    </row>
    <row r="478" spans="1:1">
      <c r="A478" s="7"/>
    </row>
    <row r="479" spans="1:1">
      <c r="A479" s="7"/>
    </row>
    <row r="480" spans="1:1">
      <c r="A480" s="7"/>
    </row>
    <row r="481" spans="1:1">
      <c r="A481" s="7"/>
    </row>
    <row r="482" spans="1:1">
      <c r="A482" s="7"/>
    </row>
    <row r="483" spans="1:1">
      <c r="A483" s="7"/>
    </row>
  </sheetData>
  <mergeCells count="15">
    <mergeCell ref="B101:D101"/>
    <mergeCell ref="E101:G101"/>
    <mergeCell ref="H101:J101"/>
    <mergeCell ref="J5:L5"/>
    <mergeCell ref="A2:L2"/>
    <mergeCell ref="A4:A6"/>
    <mergeCell ref="B4:B6"/>
    <mergeCell ref="C4:C6"/>
    <mergeCell ref="D4:D6"/>
    <mergeCell ref="E4:H4"/>
    <mergeCell ref="I4:L4"/>
    <mergeCell ref="E5:E6"/>
    <mergeCell ref="F5:H5"/>
    <mergeCell ref="I5:I6"/>
    <mergeCell ref="A95:D95"/>
  </mergeCells>
  <phoneticPr fontId="1" type="noConversion"/>
  <pageMargins left="0.75" right="0.75" top="1" bottom="1" header="0.5" footer="0.5"/>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X632"/>
  <sheetViews>
    <sheetView view="pageBreakPreview" zoomScale="75" zoomScaleNormal="75" zoomScaleSheetLayoutView="75" workbookViewId="0">
      <selection sqref="A1:S1"/>
    </sheetView>
  </sheetViews>
  <sheetFormatPr defaultRowHeight="15.75"/>
  <cols>
    <col min="1" max="1" width="6.42578125" style="240" customWidth="1"/>
    <col min="2" max="2" width="49.28515625" style="237" customWidth="1"/>
    <col min="3" max="3" width="16.7109375" style="238" customWidth="1"/>
    <col min="4" max="4" width="15.5703125" style="238" customWidth="1"/>
    <col min="5" max="5" width="21.85546875" style="238" customWidth="1"/>
    <col min="6" max="6" width="13.85546875" style="239" customWidth="1"/>
    <col min="7" max="7" width="43.140625" style="125" customWidth="1"/>
    <col min="8" max="8" width="9.140625" style="124"/>
    <col min="9" max="9" width="11.5703125" style="124" customWidth="1"/>
    <col min="10" max="10" width="23.7109375" style="124" customWidth="1"/>
    <col min="11" max="11" width="28.7109375" style="124" customWidth="1"/>
    <col min="12" max="12" width="15.7109375" style="124" customWidth="1"/>
    <col min="13" max="13" width="31.7109375" style="124" customWidth="1"/>
    <col min="14" max="24" width="9.140625" style="124"/>
    <col min="25" max="16384" width="9.140625" style="125"/>
  </cols>
  <sheetData>
    <row r="1" spans="1:24">
      <c r="A1" s="1024" t="s">
        <v>187</v>
      </c>
      <c r="B1" s="1024"/>
      <c r="C1" s="1024"/>
      <c r="D1" s="1024"/>
      <c r="E1" s="1024"/>
      <c r="F1" s="1024"/>
      <c r="G1" s="1024"/>
    </row>
    <row r="2" spans="1:24">
      <c r="A2" s="1024" t="s">
        <v>410</v>
      </c>
      <c r="B2" s="1024"/>
      <c r="C2" s="1024"/>
      <c r="D2" s="1024"/>
      <c r="E2" s="1024"/>
      <c r="F2" s="1024"/>
      <c r="G2" s="1024"/>
    </row>
    <row r="4" spans="1:24" s="126" customFormat="1">
      <c r="A4" s="1025" t="s">
        <v>26</v>
      </c>
      <c r="B4" s="1026" t="s">
        <v>188</v>
      </c>
      <c r="C4" s="1026" t="s">
        <v>189</v>
      </c>
      <c r="D4" s="1026"/>
      <c r="E4" s="1026" t="s">
        <v>190</v>
      </c>
      <c r="F4" s="1027" t="s">
        <v>191</v>
      </c>
      <c r="G4" s="1026" t="s">
        <v>192</v>
      </c>
      <c r="H4" s="124"/>
      <c r="I4" s="124"/>
      <c r="J4" s="124"/>
      <c r="K4" s="124"/>
      <c r="L4" s="124"/>
      <c r="M4" s="124"/>
      <c r="N4" s="124"/>
      <c r="O4" s="124"/>
      <c r="P4" s="124"/>
      <c r="Q4" s="124"/>
      <c r="R4" s="124"/>
      <c r="S4" s="124"/>
      <c r="T4" s="124"/>
      <c r="U4" s="124"/>
      <c r="V4" s="124"/>
      <c r="W4" s="124"/>
      <c r="X4" s="124"/>
    </row>
    <row r="5" spans="1:24" s="126" customFormat="1">
      <c r="A5" s="1025"/>
      <c r="B5" s="1026"/>
      <c r="C5" s="127" t="s">
        <v>193</v>
      </c>
      <c r="D5" s="127" t="s">
        <v>194</v>
      </c>
      <c r="E5" s="1026"/>
      <c r="F5" s="1027"/>
      <c r="G5" s="1026"/>
      <c r="H5" s="124"/>
      <c r="I5" s="124"/>
      <c r="J5" s="124"/>
      <c r="K5" s="124"/>
      <c r="L5" s="124"/>
      <c r="M5" s="124"/>
      <c r="N5" s="124"/>
      <c r="O5" s="124"/>
      <c r="P5" s="124"/>
      <c r="Q5" s="124"/>
      <c r="R5" s="124"/>
      <c r="S5" s="124"/>
      <c r="T5" s="124"/>
      <c r="U5" s="124"/>
      <c r="V5" s="124"/>
      <c r="W5" s="124"/>
      <c r="X5" s="124"/>
    </row>
    <row r="6" spans="1:24" s="126" customFormat="1">
      <c r="A6" s="128" t="s">
        <v>28</v>
      </c>
      <c r="B6" s="127">
        <v>2</v>
      </c>
      <c r="C6" s="128" t="s">
        <v>103</v>
      </c>
      <c r="D6" s="127">
        <v>4</v>
      </c>
      <c r="E6" s="128" t="s">
        <v>155</v>
      </c>
      <c r="F6" s="129">
        <v>6</v>
      </c>
      <c r="G6" s="128" t="s">
        <v>29</v>
      </c>
      <c r="H6" s="124"/>
      <c r="I6" s="124"/>
      <c r="J6" s="124"/>
      <c r="K6" s="124"/>
      <c r="L6" s="124"/>
      <c r="M6" s="124"/>
      <c r="N6" s="124"/>
      <c r="O6" s="124"/>
      <c r="P6" s="124"/>
      <c r="Q6" s="124"/>
      <c r="R6" s="124"/>
      <c r="S6" s="124"/>
      <c r="T6" s="124"/>
      <c r="U6" s="124"/>
      <c r="V6" s="124"/>
      <c r="W6" s="124"/>
      <c r="X6" s="124"/>
    </row>
    <row r="7" spans="1:24">
      <c r="A7" s="130">
        <v>1</v>
      </c>
      <c r="B7" s="1028" t="s">
        <v>48</v>
      </c>
      <c r="C7" s="1028"/>
      <c r="D7" s="1028"/>
      <c r="E7" s="1028"/>
      <c r="F7" s="1028"/>
      <c r="G7" s="1028"/>
    </row>
    <row r="8" spans="1:24">
      <c r="A8" s="131" t="s">
        <v>46</v>
      </c>
      <c r="B8" s="1013" t="s">
        <v>195</v>
      </c>
      <c r="C8" s="1014"/>
      <c r="D8" s="1014"/>
      <c r="E8" s="1014"/>
      <c r="F8" s="1014"/>
      <c r="G8" s="1014"/>
    </row>
    <row r="9" spans="1:24">
      <c r="A9" s="132"/>
      <c r="B9" s="113" t="s">
        <v>196</v>
      </c>
      <c r="C9" s="133">
        <v>11170.18</v>
      </c>
      <c r="D9" s="133">
        <v>4833.2298000000001</v>
      </c>
      <c r="E9" s="133">
        <f>D9-C9</f>
        <v>-6336.9502000000002</v>
      </c>
      <c r="F9" s="114">
        <f>D9/C9*100</f>
        <v>43.269041322521211</v>
      </c>
      <c r="G9" s="122" t="s">
        <v>400</v>
      </c>
    </row>
    <row r="10" spans="1:24" ht="31.5">
      <c r="A10" s="132"/>
      <c r="B10" s="134" t="s">
        <v>197</v>
      </c>
      <c r="C10" s="114">
        <v>22000</v>
      </c>
      <c r="D10" s="114">
        <v>14304</v>
      </c>
      <c r="E10" s="114">
        <f>D10-C10</f>
        <v>-7696</v>
      </c>
      <c r="F10" s="114">
        <f>D10/C10*100</f>
        <v>65.018181818181816</v>
      </c>
      <c r="G10" s="122" t="s">
        <v>400</v>
      </c>
    </row>
    <row r="11" spans="1:24" ht="47.25">
      <c r="A11" s="132"/>
      <c r="B11" s="134" t="s">
        <v>198</v>
      </c>
      <c r="C11" s="135">
        <f>C9/C10</f>
        <v>0.50773545454545455</v>
      </c>
      <c r="D11" s="135">
        <f>D9/D10</f>
        <v>0.33789358221476512</v>
      </c>
      <c r="E11" s="133">
        <f>D11-C11</f>
        <v>-0.16984187233068943</v>
      </c>
      <c r="F11" s="114">
        <f>D11/C11*100</f>
        <v>66.549140736539897</v>
      </c>
      <c r="G11" s="122" t="s">
        <v>400</v>
      </c>
    </row>
    <row r="12" spans="1:24" ht="63">
      <c r="A12" s="132"/>
      <c r="B12" s="134" t="s">
        <v>199</v>
      </c>
      <c r="C12" s="136">
        <v>66</v>
      </c>
      <c r="D12" s="136">
        <v>41.3</v>
      </c>
      <c r="E12" s="136">
        <f>D12-C12</f>
        <v>-24.700000000000003</v>
      </c>
      <c r="F12" s="136">
        <f>D12/C12*100</f>
        <v>62.575757575757571</v>
      </c>
      <c r="G12" s="122" t="s">
        <v>400</v>
      </c>
    </row>
    <row r="13" spans="1:24">
      <c r="A13" s="137"/>
      <c r="B13" s="1015" t="s">
        <v>200</v>
      </c>
      <c r="C13" s="1016"/>
      <c r="D13" s="1016"/>
      <c r="E13" s="1016"/>
      <c r="F13" s="1016"/>
      <c r="G13" s="1016"/>
    </row>
    <row r="14" spans="1:24">
      <c r="A14" s="138"/>
      <c r="B14" s="113" t="s">
        <v>196</v>
      </c>
      <c r="C14" s="133">
        <v>5909.49</v>
      </c>
      <c r="D14" s="133">
        <v>3472.61</v>
      </c>
      <c r="E14" s="133">
        <f>D14-C14</f>
        <v>-2436.8799999999997</v>
      </c>
      <c r="F14" s="114">
        <f>D14/C14*100</f>
        <v>58.763277372497456</v>
      </c>
      <c r="G14" s="122" t="s">
        <v>400</v>
      </c>
    </row>
    <row r="15" spans="1:24" ht="31.5">
      <c r="A15" s="138"/>
      <c r="B15" s="134" t="s">
        <v>201</v>
      </c>
      <c r="C15" s="114">
        <v>15700</v>
      </c>
      <c r="D15" s="114">
        <v>9063</v>
      </c>
      <c r="E15" s="114">
        <f>D15-C15</f>
        <v>-6637</v>
      </c>
      <c r="F15" s="114">
        <f>D15/C15*100</f>
        <v>57.726114649681527</v>
      </c>
      <c r="G15" s="122" t="s">
        <v>400</v>
      </c>
    </row>
    <row r="16" spans="1:24" ht="47.25">
      <c r="A16" s="138"/>
      <c r="B16" s="134" t="s">
        <v>202</v>
      </c>
      <c r="C16" s="139">
        <f>C14/C15</f>
        <v>0.37640063694267517</v>
      </c>
      <c r="D16" s="139">
        <f>D14/D15</f>
        <v>0.38316341167383872</v>
      </c>
      <c r="E16" s="139">
        <f>D16-C16</f>
        <v>6.7627747311635455E-3</v>
      </c>
      <c r="F16" s="114">
        <f>D16/C16*100</f>
        <v>101.79669587865057</v>
      </c>
      <c r="G16" s="122" t="s">
        <v>400</v>
      </c>
    </row>
    <row r="17" spans="1:24" ht="63">
      <c r="A17" s="138"/>
      <c r="B17" s="134" t="s">
        <v>203</v>
      </c>
      <c r="C17" s="140">
        <v>65</v>
      </c>
      <c r="D17" s="141">
        <v>27.2</v>
      </c>
      <c r="E17" s="141">
        <f>D17-C17</f>
        <v>-37.799999999999997</v>
      </c>
      <c r="F17" s="114">
        <f>D17/C17*100</f>
        <v>41.846153846153847</v>
      </c>
      <c r="G17" s="122" t="s">
        <v>400</v>
      </c>
    </row>
    <row r="18" spans="1:24">
      <c r="A18" s="138"/>
      <c r="B18" s="1000" t="s">
        <v>52</v>
      </c>
      <c r="C18" s="1000"/>
      <c r="D18" s="1000"/>
      <c r="E18" s="1000"/>
      <c r="F18" s="1000"/>
      <c r="G18" s="1001"/>
    </row>
    <row r="19" spans="1:24">
      <c r="A19" s="138"/>
      <c r="B19" s="113" t="s">
        <v>196</v>
      </c>
      <c r="C19" s="133">
        <v>3743.7959999999998</v>
      </c>
      <c r="D19" s="142">
        <v>839.38</v>
      </c>
      <c r="E19" s="133">
        <f>D19-C19</f>
        <v>-2904.4159999999997</v>
      </c>
      <c r="F19" s="114">
        <f>D19/C19*100</f>
        <v>22.420559239873114</v>
      </c>
      <c r="G19" s="122" t="s">
        <v>400</v>
      </c>
    </row>
    <row r="20" spans="1:24" ht="31.5">
      <c r="A20" s="138"/>
      <c r="B20" s="113" t="s">
        <v>204</v>
      </c>
      <c r="C20" s="114">
        <v>5700</v>
      </c>
      <c r="D20" s="143">
        <v>3668</v>
      </c>
      <c r="E20" s="114">
        <f>D20-C20</f>
        <v>-2032</v>
      </c>
      <c r="F20" s="114">
        <f>D20/C20*100</f>
        <v>64.350877192982452</v>
      </c>
      <c r="G20" s="122" t="s">
        <v>400</v>
      </c>
    </row>
    <row r="21" spans="1:24" ht="47.25">
      <c r="A21" s="144"/>
      <c r="B21" s="113" t="s">
        <v>205</v>
      </c>
      <c r="C21" s="145">
        <f>C19/C20</f>
        <v>0.65680631578947368</v>
      </c>
      <c r="D21" s="145">
        <f>D19/D20</f>
        <v>0.22883860414394766</v>
      </c>
      <c r="E21" s="133">
        <f>D21-C21</f>
        <v>-0.42796771164552605</v>
      </c>
      <c r="F21" s="114">
        <f>D21/C21*100</f>
        <v>34.841108960544368</v>
      </c>
      <c r="G21" s="122" t="s">
        <v>400</v>
      </c>
    </row>
    <row r="22" spans="1:24" ht="63">
      <c r="A22" s="144"/>
      <c r="B22" s="146" t="s">
        <v>206</v>
      </c>
      <c r="C22" s="147">
        <v>57</v>
      </c>
      <c r="D22" s="148">
        <v>34.9</v>
      </c>
      <c r="E22" s="141">
        <f>D22-C22</f>
        <v>-22.1</v>
      </c>
      <c r="F22" s="114">
        <f>D22/C22*100</f>
        <v>61.228070175438596</v>
      </c>
      <c r="G22" s="122" t="s">
        <v>400</v>
      </c>
    </row>
    <row r="23" spans="1:24" s="149" customFormat="1">
      <c r="A23" s="137" t="s">
        <v>247</v>
      </c>
      <c r="B23" s="1017" t="s">
        <v>248</v>
      </c>
      <c r="C23" s="1018"/>
      <c r="D23" s="1000"/>
      <c r="E23" s="1000"/>
      <c r="F23" s="1000"/>
      <c r="G23" s="1001"/>
      <c r="H23" s="124"/>
      <c r="I23" s="124"/>
      <c r="J23" s="124"/>
      <c r="K23" s="124"/>
      <c r="L23" s="124"/>
      <c r="M23" s="124"/>
      <c r="N23" s="124"/>
      <c r="O23" s="124"/>
      <c r="P23" s="124"/>
      <c r="Q23" s="124"/>
      <c r="R23" s="124"/>
      <c r="S23" s="124"/>
      <c r="T23" s="124"/>
      <c r="U23" s="124"/>
      <c r="V23" s="124"/>
      <c r="W23" s="124"/>
      <c r="X23" s="124"/>
    </row>
    <row r="24" spans="1:24">
      <c r="A24" s="150"/>
      <c r="B24" s="151" t="s">
        <v>249</v>
      </c>
      <c r="C24" s="152">
        <v>620</v>
      </c>
      <c r="D24" s="153">
        <v>52.43</v>
      </c>
      <c r="E24" s="154">
        <f>D24-C24</f>
        <v>-567.57000000000005</v>
      </c>
      <c r="F24" s="114">
        <f>D24/C24*100</f>
        <v>8.4564516129032263</v>
      </c>
      <c r="G24" s="122" t="s">
        <v>400</v>
      </c>
    </row>
    <row r="25" spans="1:24" ht="47.25">
      <c r="A25" s="150"/>
      <c r="B25" s="151" t="s">
        <v>250</v>
      </c>
      <c r="C25" s="155">
        <v>4</v>
      </c>
      <c r="D25" s="153">
        <v>4</v>
      </c>
      <c r="E25" s="141">
        <f>D25-C25</f>
        <v>0</v>
      </c>
      <c r="F25" s="114">
        <f>D25/C25*100</f>
        <v>100</v>
      </c>
      <c r="G25" s="122" t="s">
        <v>400</v>
      </c>
    </row>
    <row r="26" spans="1:24" ht="47.25">
      <c r="A26" s="150"/>
      <c r="B26" s="151" t="s">
        <v>251</v>
      </c>
      <c r="C26" s="152">
        <v>155</v>
      </c>
      <c r="D26" s="156">
        <f>D24/D25</f>
        <v>13.1075</v>
      </c>
      <c r="E26" s="141">
        <f>D26-C26</f>
        <v>-141.89250000000001</v>
      </c>
      <c r="F26" s="114">
        <f>D26/C26*100</f>
        <v>8.4564516129032263</v>
      </c>
      <c r="G26" s="122" t="s">
        <v>400</v>
      </c>
    </row>
    <row r="27" spans="1:24" ht="47.25">
      <c r="A27" s="150"/>
      <c r="B27" s="151" t="s">
        <v>252</v>
      </c>
      <c r="C27" s="155">
        <v>60</v>
      </c>
      <c r="D27" s="157">
        <v>29.3</v>
      </c>
      <c r="E27" s="141">
        <f>D27-C27</f>
        <v>-30.7</v>
      </c>
      <c r="F27" s="114">
        <f>D27/C27*100</f>
        <v>48.833333333333336</v>
      </c>
      <c r="G27" s="122" t="s">
        <v>400</v>
      </c>
    </row>
    <row r="28" spans="1:24" s="149" customFormat="1">
      <c r="A28" s="137" t="s">
        <v>253</v>
      </c>
      <c r="B28" s="1020" t="s">
        <v>54</v>
      </c>
      <c r="C28" s="1021"/>
      <c r="D28" s="1022"/>
      <c r="E28" s="1021"/>
      <c r="F28" s="1021"/>
      <c r="G28" s="1023"/>
      <c r="H28" s="124"/>
      <c r="I28" s="124"/>
      <c r="J28" s="124"/>
      <c r="K28" s="124"/>
      <c r="L28" s="124"/>
      <c r="M28" s="124"/>
      <c r="N28" s="124"/>
      <c r="O28" s="124"/>
      <c r="P28" s="124"/>
      <c r="Q28" s="124"/>
      <c r="R28" s="124"/>
      <c r="S28" s="124"/>
      <c r="T28" s="124"/>
      <c r="U28" s="124"/>
      <c r="V28" s="124"/>
      <c r="W28" s="124"/>
      <c r="X28" s="124"/>
    </row>
    <row r="29" spans="1:24" ht="63">
      <c r="A29" s="150"/>
      <c r="B29" s="151" t="s">
        <v>254</v>
      </c>
      <c r="C29" s="155">
        <v>4</v>
      </c>
      <c r="D29" s="148">
        <v>1</v>
      </c>
      <c r="E29" s="141">
        <f>D29-C29</f>
        <v>-3</v>
      </c>
      <c r="F29" s="114">
        <f>D29/C29*100</f>
        <v>25</v>
      </c>
      <c r="G29" s="122" t="s">
        <v>400</v>
      </c>
    </row>
    <row r="30" spans="1:24" ht="47.25">
      <c r="A30" s="150"/>
      <c r="B30" s="151" t="s">
        <v>255</v>
      </c>
      <c r="C30" s="152">
        <v>50</v>
      </c>
      <c r="D30" s="148">
        <v>0</v>
      </c>
      <c r="E30" s="141">
        <f>D30-C30</f>
        <v>-50</v>
      </c>
      <c r="F30" s="114">
        <f>D30/C30*100</f>
        <v>0</v>
      </c>
      <c r="G30" s="122" t="s">
        <v>400</v>
      </c>
    </row>
    <row r="31" spans="1:24">
      <c r="A31" s="158" t="s">
        <v>66</v>
      </c>
      <c r="B31" s="1017" t="s">
        <v>55</v>
      </c>
      <c r="C31" s="1018"/>
      <c r="D31" s="1018"/>
      <c r="E31" s="1018"/>
      <c r="F31" s="1018"/>
      <c r="G31" s="1019"/>
    </row>
    <row r="32" spans="1:24">
      <c r="A32" s="159"/>
      <c r="B32" s="113" t="s">
        <v>196</v>
      </c>
      <c r="C32" s="133">
        <v>1150</v>
      </c>
      <c r="D32" s="142">
        <v>241.1</v>
      </c>
      <c r="E32" s="133">
        <f>D32-C32</f>
        <v>-908.9</v>
      </c>
      <c r="F32" s="114">
        <f>D32/C32*100</f>
        <v>20.965217391304346</v>
      </c>
      <c r="G32" s="122" t="s">
        <v>400</v>
      </c>
    </row>
    <row r="33" spans="1:7" ht="47.25">
      <c r="A33" s="138"/>
      <c r="B33" s="113" t="s">
        <v>207</v>
      </c>
      <c r="C33" s="116">
        <v>3</v>
      </c>
      <c r="D33" s="117">
        <v>2</v>
      </c>
      <c r="E33" s="114">
        <f>D33-C33</f>
        <v>-1</v>
      </c>
      <c r="F33" s="114">
        <f>D33/C33*100</f>
        <v>66.666666666666657</v>
      </c>
      <c r="G33" s="122" t="s">
        <v>400</v>
      </c>
    </row>
    <row r="34" spans="1:7" ht="47.25">
      <c r="A34" s="138"/>
      <c r="B34" s="113" t="s">
        <v>208</v>
      </c>
      <c r="C34" s="133">
        <f>C32/C33</f>
        <v>383.33333333333331</v>
      </c>
      <c r="D34" s="133">
        <f>D32/D33</f>
        <v>120.55</v>
      </c>
      <c r="E34" s="133">
        <f>D34-C34</f>
        <v>-262.7833333333333</v>
      </c>
      <c r="F34" s="114">
        <f>D34/C34*100</f>
        <v>31.447826086956521</v>
      </c>
      <c r="G34" s="122" t="s">
        <v>400</v>
      </c>
    </row>
    <row r="35" spans="1:7" ht="47.25">
      <c r="A35" s="144"/>
      <c r="B35" s="113" t="s">
        <v>209</v>
      </c>
      <c r="C35" s="160">
        <v>40</v>
      </c>
      <c r="D35" s="161">
        <v>3.6</v>
      </c>
      <c r="E35" s="136">
        <f>D35-C35</f>
        <v>-36.4</v>
      </c>
      <c r="F35" s="114">
        <f>D35/C35*100</f>
        <v>9</v>
      </c>
      <c r="G35" s="122" t="s">
        <v>400</v>
      </c>
    </row>
    <row r="36" spans="1:7">
      <c r="A36" s="144" t="s">
        <v>256</v>
      </c>
      <c r="B36" s="999" t="s">
        <v>56</v>
      </c>
      <c r="C36" s="1000"/>
      <c r="D36" s="1000"/>
      <c r="E36" s="1000"/>
      <c r="F36" s="1000"/>
      <c r="G36" s="1001"/>
    </row>
    <row r="37" spans="1:7">
      <c r="A37" s="162"/>
      <c r="B37" s="151" t="s">
        <v>257</v>
      </c>
      <c r="C37" s="163">
        <v>80.28</v>
      </c>
      <c r="D37" s="164">
        <v>0</v>
      </c>
      <c r="E37" s="165">
        <f t="shared" ref="E37:E85" si="0">D37-C37</f>
        <v>-80.28</v>
      </c>
      <c r="F37" s="118">
        <f>D37/C37*100</f>
        <v>0</v>
      </c>
      <c r="G37" s="122" t="s">
        <v>400</v>
      </c>
    </row>
    <row r="38" spans="1:7" ht="48" customHeight="1">
      <c r="A38" s="162"/>
      <c r="B38" s="151" t="s">
        <v>258</v>
      </c>
      <c r="C38" s="155">
        <v>100</v>
      </c>
      <c r="D38" s="166">
        <v>0</v>
      </c>
      <c r="E38" s="136">
        <f t="shared" si="0"/>
        <v>-100</v>
      </c>
      <c r="F38" s="114">
        <f>D38/C38*100</f>
        <v>0</v>
      </c>
      <c r="G38" s="122" t="s">
        <v>400</v>
      </c>
    </row>
    <row r="39" spans="1:7" ht="39" customHeight="1">
      <c r="A39" s="162"/>
      <c r="B39" s="151" t="s">
        <v>259</v>
      </c>
      <c r="C39" s="155">
        <v>0.8</v>
      </c>
      <c r="D39" s="166">
        <v>0</v>
      </c>
      <c r="E39" s="136">
        <f t="shared" si="0"/>
        <v>-0.8</v>
      </c>
      <c r="F39" s="114">
        <f>D39/C39*100</f>
        <v>0</v>
      </c>
      <c r="G39" s="122" t="s">
        <v>400</v>
      </c>
    </row>
    <row r="40" spans="1:7" ht="63">
      <c r="A40" s="162"/>
      <c r="B40" s="151" t="s">
        <v>260</v>
      </c>
      <c r="C40" s="155">
        <v>0.41</v>
      </c>
      <c r="D40" s="166">
        <v>0</v>
      </c>
      <c r="E40" s="136">
        <f t="shared" si="0"/>
        <v>-0.41</v>
      </c>
      <c r="F40" s="114">
        <f>D40/C40*100</f>
        <v>0</v>
      </c>
      <c r="G40" s="122" t="s">
        <v>400</v>
      </c>
    </row>
    <row r="41" spans="1:7" ht="32.25" customHeight="1">
      <c r="A41" s="162" t="s">
        <v>261</v>
      </c>
      <c r="B41" s="999" t="s">
        <v>57</v>
      </c>
      <c r="C41" s="1000"/>
      <c r="D41" s="1000"/>
      <c r="E41" s="1000"/>
      <c r="F41" s="1000"/>
      <c r="G41" s="1001"/>
    </row>
    <row r="42" spans="1:7" ht="18.75">
      <c r="A42" s="162"/>
      <c r="B42" s="151" t="s">
        <v>257</v>
      </c>
      <c r="C42" s="163">
        <v>635</v>
      </c>
      <c r="D42" s="167">
        <v>333.16</v>
      </c>
      <c r="E42" s="165">
        <f t="shared" si="0"/>
        <v>-301.83999999999997</v>
      </c>
      <c r="F42" s="114">
        <f>D42/C42*100</f>
        <v>52.466141732283468</v>
      </c>
      <c r="G42" s="122" t="s">
        <v>400</v>
      </c>
    </row>
    <row r="43" spans="1:7" ht="47.25">
      <c r="A43" s="162"/>
      <c r="B43" s="151" t="s">
        <v>262</v>
      </c>
      <c r="C43" s="155">
        <v>150</v>
      </c>
      <c r="D43" s="168">
        <v>8</v>
      </c>
      <c r="E43" s="136">
        <f t="shared" si="0"/>
        <v>-142</v>
      </c>
      <c r="F43" s="114">
        <f>D43/C43*100</f>
        <v>5.3333333333333339</v>
      </c>
      <c r="G43" s="122" t="s">
        <v>400</v>
      </c>
    </row>
    <row r="44" spans="1:7" ht="63" customHeight="1">
      <c r="A44" s="162"/>
      <c r="B44" s="151" t="s">
        <v>263</v>
      </c>
      <c r="C44" s="152">
        <v>4.2300000000000004</v>
      </c>
      <c r="D44" s="153">
        <f>D42/D43</f>
        <v>41.645000000000003</v>
      </c>
      <c r="E44" s="136">
        <f t="shared" si="0"/>
        <v>37.415000000000006</v>
      </c>
      <c r="F44" s="114">
        <f>D44/C44*100</f>
        <v>984.51536643025997</v>
      </c>
      <c r="G44" s="122" t="s">
        <v>400</v>
      </c>
    </row>
    <row r="45" spans="1:7" ht="78.75">
      <c r="A45" s="162"/>
      <c r="B45" s="151" t="s">
        <v>264</v>
      </c>
      <c r="C45" s="155">
        <v>50</v>
      </c>
      <c r="D45" s="168">
        <v>98</v>
      </c>
      <c r="E45" s="136">
        <f t="shared" si="0"/>
        <v>48</v>
      </c>
      <c r="F45" s="114">
        <f>D45/C45*100</f>
        <v>196</v>
      </c>
      <c r="G45" s="122" t="s">
        <v>400</v>
      </c>
    </row>
    <row r="46" spans="1:7">
      <c r="A46" s="138" t="s">
        <v>265</v>
      </c>
      <c r="B46" s="999" t="s">
        <v>269</v>
      </c>
      <c r="C46" s="1000"/>
      <c r="D46" s="1000"/>
      <c r="E46" s="1000"/>
      <c r="F46" s="1000"/>
      <c r="G46" s="1001"/>
    </row>
    <row r="47" spans="1:7">
      <c r="A47" s="169"/>
      <c r="B47" s="151" t="s">
        <v>257</v>
      </c>
      <c r="C47" s="170">
        <v>3039.29</v>
      </c>
      <c r="D47" s="171">
        <f>D50+D54+D58</f>
        <v>1870.68</v>
      </c>
      <c r="E47" s="165">
        <f t="shared" si="0"/>
        <v>-1168.6099999999999</v>
      </c>
      <c r="F47" s="114">
        <f>D47/C47*100</f>
        <v>61.549901457248247</v>
      </c>
      <c r="G47" s="122" t="s">
        <v>400</v>
      </c>
    </row>
    <row r="48" spans="1:7" ht="31.5">
      <c r="A48" s="172"/>
      <c r="B48" s="151" t="s">
        <v>267</v>
      </c>
      <c r="C48" s="152">
        <v>1550</v>
      </c>
      <c r="D48" s="143">
        <v>1056</v>
      </c>
      <c r="E48" s="136">
        <f t="shared" si="0"/>
        <v>-494</v>
      </c>
      <c r="F48" s="114">
        <f>D48/C48*100</f>
        <v>68.129032258064512</v>
      </c>
      <c r="G48" s="122" t="s">
        <v>400</v>
      </c>
    </row>
    <row r="49" spans="1:7" ht="31.5">
      <c r="A49" s="172"/>
      <c r="B49" s="173" t="s">
        <v>275</v>
      </c>
      <c r="C49" s="116"/>
      <c r="D49" s="166"/>
      <c r="E49" s="136"/>
      <c r="F49" s="114"/>
      <c r="G49" s="122" t="s">
        <v>400</v>
      </c>
    </row>
    <row r="50" spans="1:7">
      <c r="A50" s="172"/>
      <c r="B50" s="151" t="s">
        <v>257</v>
      </c>
      <c r="C50" s="152">
        <v>1652.29</v>
      </c>
      <c r="D50" s="166">
        <v>1870.68</v>
      </c>
      <c r="E50" s="136">
        <f t="shared" si="0"/>
        <v>218.3900000000001</v>
      </c>
      <c r="F50" s="114">
        <f>D50/C50*100</f>
        <v>113.21741340805791</v>
      </c>
      <c r="G50" s="122" t="s">
        <v>400</v>
      </c>
    </row>
    <row r="51" spans="1:7" ht="31.5">
      <c r="A51" s="172"/>
      <c r="B51" s="151" t="s">
        <v>271</v>
      </c>
      <c r="C51" s="152">
        <v>900</v>
      </c>
      <c r="D51" s="166">
        <v>1056</v>
      </c>
      <c r="E51" s="136">
        <f t="shared" si="0"/>
        <v>156</v>
      </c>
      <c r="F51" s="114">
        <f>D51/C51*100</f>
        <v>117.33333333333333</v>
      </c>
      <c r="G51" s="122" t="s">
        <v>400</v>
      </c>
    </row>
    <row r="52" spans="1:7" ht="60.75" customHeight="1">
      <c r="A52" s="172"/>
      <c r="B52" s="151" t="s">
        <v>272</v>
      </c>
      <c r="C52" s="174">
        <f>C50/C51</f>
        <v>1.8358777777777777</v>
      </c>
      <c r="D52" s="166">
        <f>D50/D51</f>
        <v>1.7714772727272727</v>
      </c>
      <c r="E52" s="136">
        <f t="shared" si="0"/>
        <v>-6.4400505050504986E-2</v>
      </c>
      <c r="F52" s="114">
        <f>D52/C52*100</f>
        <v>96.492113700049359</v>
      </c>
      <c r="G52" s="122" t="s">
        <v>400</v>
      </c>
    </row>
    <row r="53" spans="1:7" ht="33.75" customHeight="1">
      <c r="A53" s="172"/>
      <c r="B53" s="1029" t="s">
        <v>268</v>
      </c>
      <c r="C53" s="1030"/>
      <c r="D53" s="1030"/>
      <c r="E53" s="1030"/>
      <c r="F53" s="1030"/>
      <c r="G53" s="1031"/>
    </row>
    <row r="54" spans="1:7">
      <c r="A54" s="172"/>
      <c r="B54" s="151" t="s">
        <v>257</v>
      </c>
      <c r="C54" s="175">
        <v>511</v>
      </c>
      <c r="D54" s="164">
        <v>0</v>
      </c>
      <c r="E54" s="165">
        <f t="shared" si="0"/>
        <v>-511</v>
      </c>
      <c r="F54" s="114">
        <f>D54/C54*100</f>
        <v>0</v>
      </c>
      <c r="G54" s="122" t="s">
        <v>400</v>
      </c>
    </row>
    <row r="55" spans="1:7" ht="31.5">
      <c r="A55" s="172"/>
      <c r="B55" s="176" t="s">
        <v>273</v>
      </c>
      <c r="C55" s="152">
        <v>500</v>
      </c>
      <c r="D55" s="166">
        <v>0</v>
      </c>
      <c r="E55" s="136">
        <f t="shared" si="0"/>
        <v>-500</v>
      </c>
      <c r="F55" s="114">
        <f>D55/C55*100</f>
        <v>0</v>
      </c>
      <c r="G55" s="122" t="s">
        <v>400</v>
      </c>
    </row>
    <row r="56" spans="1:7" ht="47.25">
      <c r="A56" s="172"/>
      <c r="B56" s="176" t="s">
        <v>274</v>
      </c>
      <c r="C56" s="152">
        <f>C54/C55</f>
        <v>1.022</v>
      </c>
      <c r="D56" s="166">
        <v>0</v>
      </c>
      <c r="E56" s="136">
        <f t="shared" si="0"/>
        <v>-1.022</v>
      </c>
      <c r="F56" s="114">
        <f>D56/C56*100</f>
        <v>0</v>
      </c>
      <c r="G56" s="122" t="s">
        <v>400</v>
      </c>
    </row>
    <row r="57" spans="1:7">
      <c r="A57" s="172"/>
      <c r="B57" s="1033" t="s">
        <v>276</v>
      </c>
      <c r="C57" s="1034"/>
      <c r="D57" s="1034"/>
      <c r="E57" s="1034"/>
      <c r="F57" s="1034"/>
      <c r="G57" s="1035"/>
    </row>
    <row r="58" spans="1:7" ht="177" customHeight="1">
      <c r="A58" s="172"/>
      <c r="B58" s="176" t="s">
        <v>266</v>
      </c>
      <c r="C58" s="174">
        <v>876</v>
      </c>
      <c r="D58" s="166">
        <v>0</v>
      </c>
      <c r="E58" s="136">
        <f t="shared" si="0"/>
        <v>-876</v>
      </c>
      <c r="F58" s="114">
        <f>D58/C58*100</f>
        <v>0</v>
      </c>
      <c r="G58" s="177" t="s">
        <v>388</v>
      </c>
    </row>
    <row r="59" spans="1:7" ht="31.5">
      <c r="A59" s="172"/>
      <c r="B59" s="178" t="s">
        <v>277</v>
      </c>
      <c r="C59" s="179">
        <v>150</v>
      </c>
      <c r="D59" s="166">
        <v>0</v>
      </c>
      <c r="E59" s="136">
        <f t="shared" si="0"/>
        <v>-150</v>
      </c>
      <c r="F59" s="114">
        <f>D59/C59*100</f>
        <v>0</v>
      </c>
      <c r="G59" s="122" t="s">
        <v>400</v>
      </c>
    </row>
    <row r="60" spans="1:7" ht="47.25">
      <c r="A60" s="172"/>
      <c r="B60" s="180" t="s">
        <v>278</v>
      </c>
      <c r="C60" s="155">
        <f>C58/C59</f>
        <v>5.84</v>
      </c>
      <c r="D60" s="166">
        <v>0</v>
      </c>
      <c r="E60" s="136">
        <f t="shared" si="0"/>
        <v>-5.84</v>
      </c>
      <c r="F60" s="114">
        <f>D60/C60*100</f>
        <v>0</v>
      </c>
      <c r="G60" s="122" t="s">
        <v>400</v>
      </c>
    </row>
    <row r="61" spans="1:7" ht="50.25" customHeight="1">
      <c r="A61" s="172"/>
      <c r="B61" s="176" t="s">
        <v>270</v>
      </c>
      <c r="C61" s="181">
        <v>4.5</v>
      </c>
      <c r="D61" s="182">
        <v>3.1</v>
      </c>
      <c r="E61" s="145">
        <f t="shared" si="0"/>
        <v>-1.4</v>
      </c>
      <c r="F61" s="114">
        <f>D61/C61*100</f>
        <v>68.888888888888886</v>
      </c>
      <c r="G61" s="122" t="s">
        <v>400</v>
      </c>
    </row>
    <row r="62" spans="1:7">
      <c r="A62" s="172" t="s">
        <v>69</v>
      </c>
      <c r="B62" s="999" t="s">
        <v>70</v>
      </c>
      <c r="C62" s="1000"/>
      <c r="D62" s="1000"/>
      <c r="E62" s="1000"/>
      <c r="F62" s="1000"/>
      <c r="G62" s="1001"/>
    </row>
    <row r="63" spans="1:7" ht="233.25" customHeight="1">
      <c r="A63" s="162"/>
      <c r="B63" s="178" t="s">
        <v>279</v>
      </c>
      <c r="C63" s="179">
        <v>125.04</v>
      </c>
      <c r="D63" s="161">
        <v>0</v>
      </c>
      <c r="E63" s="136">
        <f t="shared" si="0"/>
        <v>-125.04</v>
      </c>
      <c r="F63" s="114">
        <f>D63/C63*100</f>
        <v>0</v>
      </c>
      <c r="G63" s="122" t="s">
        <v>389</v>
      </c>
    </row>
    <row r="64" spans="1:7" ht="31.5">
      <c r="A64" s="144"/>
      <c r="B64" s="183" t="s">
        <v>280</v>
      </c>
      <c r="C64" s="179">
        <v>750</v>
      </c>
      <c r="D64" s="161">
        <v>268</v>
      </c>
      <c r="E64" s="136">
        <f t="shared" si="0"/>
        <v>-482</v>
      </c>
      <c r="F64" s="114">
        <f>D64/C64*100</f>
        <v>35.733333333333334</v>
      </c>
      <c r="G64" s="122" t="s">
        <v>400</v>
      </c>
    </row>
    <row r="65" spans="1:7" ht="31.5">
      <c r="A65" s="144"/>
      <c r="B65" s="183" t="s">
        <v>281</v>
      </c>
      <c r="C65" s="184">
        <f>C63/C64</f>
        <v>0.16672000000000001</v>
      </c>
      <c r="D65" s="161">
        <v>0</v>
      </c>
      <c r="E65" s="136">
        <f t="shared" si="0"/>
        <v>-0.16672000000000001</v>
      </c>
      <c r="F65" s="114">
        <f>D65/C65*100</f>
        <v>0</v>
      </c>
      <c r="G65" s="122" t="s">
        <v>400</v>
      </c>
    </row>
    <row r="66" spans="1:7" ht="63">
      <c r="A66" s="144"/>
      <c r="B66" s="183" t="s">
        <v>282</v>
      </c>
      <c r="C66" s="179">
        <v>100</v>
      </c>
      <c r="D66" s="161">
        <v>43.6</v>
      </c>
      <c r="E66" s="136">
        <f t="shared" si="0"/>
        <v>-56.4</v>
      </c>
      <c r="F66" s="114">
        <f>D66/C66*100</f>
        <v>43.6</v>
      </c>
      <c r="G66" s="122" t="s">
        <v>400</v>
      </c>
    </row>
    <row r="67" spans="1:7">
      <c r="A67" s="144" t="s">
        <v>283</v>
      </c>
      <c r="B67" s="999" t="s">
        <v>6</v>
      </c>
      <c r="C67" s="1000"/>
      <c r="D67" s="1000"/>
      <c r="E67" s="1000"/>
      <c r="F67" s="1000"/>
      <c r="G67" s="1001"/>
    </row>
    <row r="68" spans="1:7" ht="34.5" customHeight="1">
      <c r="A68" s="169"/>
      <c r="B68" s="185" t="s">
        <v>72</v>
      </c>
      <c r="C68" s="160"/>
      <c r="D68" s="161"/>
      <c r="E68" s="136"/>
      <c r="F68" s="114"/>
      <c r="G68" s="115"/>
    </row>
    <row r="69" spans="1:7" ht="18.75">
      <c r="A69" s="169"/>
      <c r="B69" s="151" t="s">
        <v>257</v>
      </c>
      <c r="C69" s="152">
        <v>2902.74</v>
      </c>
      <c r="D69" s="168">
        <v>1016.67</v>
      </c>
      <c r="E69" s="186">
        <f t="shared" si="0"/>
        <v>-1886.0699999999997</v>
      </c>
      <c r="F69" s="114">
        <f>D69/C69*100</f>
        <v>35.024494098679185</v>
      </c>
      <c r="G69" s="122" t="s">
        <v>400</v>
      </c>
    </row>
    <row r="70" spans="1:7" ht="31.5">
      <c r="A70" s="169"/>
      <c r="B70" s="151" t="s">
        <v>284</v>
      </c>
      <c r="C70" s="155">
        <v>35000</v>
      </c>
      <c r="D70" s="168">
        <v>19512</v>
      </c>
      <c r="E70" s="186">
        <f t="shared" si="0"/>
        <v>-15488</v>
      </c>
      <c r="F70" s="114">
        <f>D70/C70*100</f>
        <v>55.748571428571424</v>
      </c>
      <c r="G70" s="122" t="s">
        <v>400</v>
      </c>
    </row>
    <row r="71" spans="1:7" ht="31.5">
      <c r="A71" s="169"/>
      <c r="B71" s="151" t="s">
        <v>285</v>
      </c>
      <c r="C71" s="174">
        <f>C69/C70</f>
        <v>8.2935428571428563E-2</v>
      </c>
      <c r="D71" s="168">
        <v>0.05</v>
      </c>
      <c r="E71" s="186">
        <f t="shared" si="0"/>
        <v>-3.293542857142856E-2</v>
      </c>
      <c r="F71" s="114">
        <f>D71/C71*100</f>
        <v>60.287865947346312</v>
      </c>
      <c r="G71" s="122" t="s">
        <v>400</v>
      </c>
    </row>
    <row r="72" spans="1:7" ht="63">
      <c r="A72" s="169"/>
      <c r="B72" s="151" t="s">
        <v>286</v>
      </c>
      <c r="C72" s="152">
        <v>100</v>
      </c>
      <c r="D72" s="168">
        <v>100</v>
      </c>
      <c r="E72" s="186">
        <f t="shared" si="0"/>
        <v>0</v>
      </c>
      <c r="F72" s="114">
        <f>D72/C72*100</f>
        <v>100</v>
      </c>
      <c r="G72" s="122" t="s">
        <v>400</v>
      </c>
    </row>
    <row r="73" spans="1:7">
      <c r="A73" s="169"/>
      <c r="B73" s="999" t="s">
        <v>73</v>
      </c>
      <c r="C73" s="1000"/>
      <c r="D73" s="1000"/>
      <c r="E73" s="1000"/>
      <c r="F73" s="1000"/>
      <c r="G73" s="1001"/>
    </row>
    <row r="74" spans="1:7" ht="227.25" customHeight="1">
      <c r="A74" s="169"/>
      <c r="B74" s="176" t="s">
        <v>287</v>
      </c>
      <c r="C74" s="163">
        <v>1714.58</v>
      </c>
      <c r="D74" s="187">
        <v>219.21</v>
      </c>
      <c r="E74" s="188">
        <f t="shared" si="0"/>
        <v>-1495.37</v>
      </c>
      <c r="F74" s="118">
        <f>D74/C74*100</f>
        <v>12.785055232185142</v>
      </c>
      <c r="G74" s="122" t="s">
        <v>401</v>
      </c>
    </row>
    <row r="75" spans="1:7" ht="63">
      <c r="A75" s="169"/>
      <c r="B75" s="151" t="s">
        <v>288</v>
      </c>
      <c r="C75" s="155">
        <v>300</v>
      </c>
      <c r="D75" s="189">
        <v>132</v>
      </c>
      <c r="E75" s="186">
        <f t="shared" si="0"/>
        <v>-168</v>
      </c>
      <c r="F75" s="114">
        <f>D75/C75*100</f>
        <v>44</v>
      </c>
      <c r="G75" s="122" t="s">
        <v>400</v>
      </c>
    </row>
    <row r="76" spans="1:7" ht="47.25">
      <c r="A76" s="169"/>
      <c r="B76" s="151" t="s">
        <v>289</v>
      </c>
      <c r="C76" s="181">
        <f>C74/C75</f>
        <v>5.7152666666666665</v>
      </c>
      <c r="D76" s="189">
        <v>1.66</v>
      </c>
      <c r="E76" s="186">
        <f t="shared" si="0"/>
        <v>-4.0552666666666664</v>
      </c>
      <c r="F76" s="114">
        <f>D76/C76*100</f>
        <v>29.045013939273755</v>
      </c>
      <c r="G76" s="122" t="s">
        <v>400</v>
      </c>
    </row>
    <row r="77" spans="1:7" ht="84" customHeight="1">
      <c r="A77" s="169"/>
      <c r="B77" s="151" t="s">
        <v>290</v>
      </c>
      <c r="C77" s="152">
        <v>100</v>
      </c>
      <c r="D77" s="189">
        <v>55.2</v>
      </c>
      <c r="E77" s="186">
        <f t="shared" si="0"/>
        <v>-44.8</v>
      </c>
      <c r="F77" s="114">
        <f>D77/C77*100</f>
        <v>55.2</v>
      </c>
      <c r="G77" s="122" t="s">
        <v>400</v>
      </c>
    </row>
    <row r="78" spans="1:7">
      <c r="A78" s="169"/>
      <c r="B78" s="999" t="s">
        <v>74</v>
      </c>
      <c r="C78" s="1000"/>
      <c r="D78" s="1000"/>
      <c r="E78" s="1000"/>
      <c r="F78" s="1000"/>
      <c r="G78" s="1001"/>
    </row>
    <row r="79" spans="1:7" ht="63">
      <c r="A79" s="169"/>
      <c r="B79" s="151" t="s">
        <v>291</v>
      </c>
      <c r="C79" s="155">
        <v>300</v>
      </c>
      <c r="D79" s="143">
        <v>100</v>
      </c>
      <c r="E79" s="136">
        <f t="shared" si="0"/>
        <v>-200</v>
      </c>
      <c r="F79" s="114">
        <f>D79/C79*100</f>
        <v>33.333333333333329</v>
      </c>
      <c r="G79" s="122" t="s">
        <v>400</v>
      </c>
    </row>
    <row r="80" spans="1:7" ht="78.75">
      <c r="A80" s="169"/>
      <c r="B80" s="151" t="s">
        <v>295</v>
      </c>
      <c r="C80" s="152">
        <v>99.5</v>
      </c>
      <c r="D80" s="161">
        <v>100</v>
      </c>
      <c r="E80" s="136">
        <f t="shared" si="0"/>
        <v>0.5</v>
      </c>
      <c r="F80" s="114">
        <f>D80/C80*100</f>
        <v>100.50251256281406</v>
      </c>
      <c r="G80" s="122" t="s">
        <v>400</v>
      </c>
    </row>
    <row r="81" spans="1:24" ht="39" customHeight="1">
      <c r="A81" s="169" t="s">
        <v>75</v>
      </c>
      <c r="B81" s="1029" t="s">
        <v>76</v>
      </c>
      <c r="C81" s="1030"/>
      <c r="D81" s="1030"/>
      <c r="E81" s="1030"/>
      <c r="F81" s="1030"/>
      <c r="G81" s="1031"/>
    </row>
    <row r="82" spans="1:24">
      <c r="A82" s="169"/>
      <c r="B82" s="151" t="s">
        <v>249</v>
      </c>
      <c r="C82" s="175">
        <v>150</v>
      </c>
      <c r="D82" s="161">
        <v>22.44</v>
      </c>
      <c r="E82" s="165">
        <f t="shared" si="0"/>
        <v>-127.56</v>
      </c>
      <c r="F82" s="118">
        <f>D82/C82*100</f>
        <v>14.96</v>
      </c>
      <c r="G82" s="122" t="s">
        <v>400</v>
      </c>
    </row>
    <row r="83" spans="1:24" ht="63">
      <c r="A83" s="169"/>
      <c r="B83" s="151" t="s">
        <v>292</v>
      </c>
      <c r="C83" s="155">
        <v>60</v>
      </c>
      <c r="D83" s="161">
        <v>294</v>
      </c>
      <c r="E83" s="136">
        <f t="shared" si="0"/>
        <v>234</v>
      </c>
      <c r="F83" s="114">
        <f>D83/C83*100</f>
        <v>490.00000000000006</v>
      </c>
      <c r="G83" s="122" t="s">
        <v>400</v>
      </c>
    </row>
    <row r="84" spans="1:24" ht="31.5">
      <c r="A84" s="169"/>
      <c r="B84" s="151" t="s">
        <v>293</v>
      </c>
      <c r="C84" s="181">
        <f>C82/C83</f>
        <v>2.5</v>
      </c>
      <c r="D84" s="161">
        <f>D82/D83</f>
        <v>7.6326530612244897E-2</v>
      </c>
      <c r="E84" s="136">
        <f t="shared" si="0"/>
        <v>-2.4236734693877553</v>
      </c>
      <c r="F84" s="114">
        <f>D84/C84*100</f>
        <v>3.0530612244897957</v>
      </c>
      <c r="G84" s="122" t="s">
        <v>400</v>
      </c>
    </row>
    <row r="85" spans="1:24" ht="47.25">
      <c r="A85" s="169"/>
      <c r="B85" s="151" t="s">
        <v>294</v>
      </c>
      <c r="C85" s="155">
        <v>75</v>
      </c>
      <c r="D85" s="161">
        <v>0</v>
      </c>
      <c r="E85" s="136">
        <f t="shared" si="0"/>
        <v>-75</v>
      </c>
      <c r="F85" s="114">
        <f>D85/C85*100</f>
        <v>0</v>
      </c>
      <c r="G85" s="122" t="s">
        <v>400</v>
      </c>
    </row>
    <row r="86" spans="1:24">
      <c r="A86" s="128" t="s">
        <v>78</v>
      </c>
      <c r="B86" s="996" t="s">
        <v>77</v>
      </c>
      <c r="C86" s="997"/>
      <c r="D86" s="997"/>
      <c r="E86" s="997"/>
      <c r="F86" s="997"/>
      <c r="G86" s="998"/>
    </row>
    <row r="87" spans="1:24" ht="23.25" customHeight="1">
      <c r="A87" s="190" t="s">
        <v>296</v>
      </c>
      <c r="B87" s="999" t="s">
        <v>79</v>
      </c>
      <c r="C87" s="1000"/>
      <c r="D87" s="1000"/>
      <c r="E87" s="1000"/>
      <c r="F87" s="1000"/>
      <c r="G87" s="1001"/>
    </row>
    <row r="88" spans="1:24" ht="132.75" customHeight="1">
      <c r="A88" s="128"/>
      <c r="B88" s="176" t="s">
        <v>249</v>
      </c>
      <c r="C88" s="155">
        <v>6653.18</v>
      </c>
      <c r="D88" s="191">
        <v>585.12</v>
      </c>
      <c r="E88" s="191">
        <f>D88-C88</f>
        <v>-6068.06</v>
      </c>
      <c r="F88" s="192">
        <f>D88/C88*100</f>
        <v>8.7945914585205873</v>
      </c>
      <c r="G88" s="193" t="s">
        <v>393</v>
      </c>
    </row>
    <row r="89" spans="1:24">
      <c r="A89" s="128"/>
      <c r="B89" s="151" t="s">
        <v>238</v>
      </c>
      <c r="C89" s="163"/>
      <c r="D89" s="194"/>
      <c r="E89" s="194"/>
      <c r="F89" s="195"/>
      <c r="G89" s="193"/>
    </row>
    <row r="90" spans="1:24">
      <c r="A90" s="128"/>
      <c r="B90" s="196" t="s">
        <v>240</v>
      </c>
      <c r="C90" s="152">
        <v>160000</v>
      </c>
      <c r="D90" s="191">
        <v>55311</v>
      </c>
      <c r="E90" s="191">
        <f t="shared" ref="E90:E113" si="1">D90-C90</f>
        <v>-104689</v>
      </c>
      <c r="F90" s="192">
        <f t="shared" ref="F90:F113" si="2">D90/C90*100</f>
        <v>34.569375000000001</v>
      </c>
      <c r="G90" s="122" t="s">
        <v>400</v>
      </c>
    </row>
    <row r="91" spans="1:24">
      <c r="A91" s="128"/>
      <c r="B91" s="196" t="s">
        <v>239</v>
      </c>
      <c r="C91" s="152">
        <v>3520</v>
      </c>
      <c r="D91" s="191">
        <v>1685</v>
      </c>
      <c r="E91" s="191">
        <f t="shared" si="1"/>
        <v>-1835</v>
      </c>
      <c r="F91" s="192">
        <f t="shared" si="2"/>
        <v>47.86931818181818</v>
      </c>
      <c r="G91" s="122" t="s">
        <v>400</v>
      </c>
    </row>
    <row r="92" spans="1:24" s="198" customFormat="1" ht="48" customHeight="1">
      <c r="A92" s="197" t="s">
        <v>297</v>
      </c>
      <c r="B92" s="999" t="s">
        <v>326</v>
      </c>
      <c r="C92" s="1000"/>
      <c r="D92" s="1000"/>
      <c r="E92" s="1000"/>
      <c r="F92" s="1000"/>
      <c r="G92" s="1001"/>
      <c r="H92" s="124"/>
      <c r="I92" s="124"/>
      <c r="J92" s="124"/>
      <c r="K92" s="124"/>
      <c r="L92" s="124"/>
      <c r="M92" s="124"/>
      <c r="N92" s="124"/>
      <c r="O92" s="124"/>
      <c r="P92" s="124"/>
      <c r="Q92" s="124"/>
      <c r="R92" s="124"/>
      <c r="S92" s="124"/>
      <c r="T92" s="124"/>
      <c r="U92" s="124"/>
      <c r="V92" s="124"/>
      <c r="W92" s="124"/>
      <c r="X92" s="124"/>
    </row>
    <row r="93" spans="1:24" ht="47.25">
      <c r="A93" s="128"/>
      <c r="B93" s="183" t="s">
        <v>304</v>
      </c>
      <c r="C93" s="199">
        <v>33</v>
      </c>
      <c r="D93" s="191">
        <v>58</v>
      </c>
      <c r="E93" s="191">
        <f t="shared" si="1"/>
        <v>25</v>
      </c>
      <c r="F93" s="192">
        <f t="shared" si="2"/>
        <v>175.75757575757575</v>
      </c>
      <c r="G93" s="122" t="s">
        <v>403</v>
      </c>
    </row>
    <row r="94" spans="1:24" ht="47.25">
      <c r="A94" s="200"/>
      <c r="B94" s="151" t="s">
        <v>305</v>
      </c>
      <c r="C94" s="155">
        <v>40</v>
      </c>
      <c r="D94" s="201">
        <v>0</v>
      </c>
      <c r="E94" s="191">
        <f t="shared" si="1"/>
        <v>-40</v>
      </c>
      <c r="F94" s="191">
        <f t="shared" si="2"/>
        <v>0</v>
      </c>
      <c r="G94" s="122" t="s">
        <v>403</v>
      </c>
    </row>
    <row r="95" spans="1:24" s="198" customFormat="1" ht="25.5" customHeight="1">
      <c r="A95" s="197" t="s">
        <v>298</v>
      </c>
      <c r="B95" s="999" t="s">
        <v>82</v>
      </c>
      <c r="C95" s="1000"/>
      <c r="D95" s="1000"/>
      <c r="E95" s="1000"/>
      <c r="F95" s="1000"/>
      <c r="G95" s="1001"/>
      <c r="H95" s="124"/>
      <c r="I95" s="124"/>
      <c r="J95" s="124"/>
      <c r="K95" s="124"/>
      <c r="L95" s="124"/>
      <c r="M95" s="124"/>
      <c r="N95" s="124"/>
      <c r="O95" s="124"/>
      <c r="P95" s="124"/>
      <c r="Q95" s="124"/>
      <c r="R95" s="124"/>
      <c r="S95" s="124"/>
      <c r="T95" s="124"/>
      <c r="U95" s="124"/>
      <c r="V95" s="124"/>
      <c r="W95" s="124"/>
      <c r="X95" s="124"/>
    </row>
    <row r="96" spans="1:24" ht="54" customHeight="1">
      <c r="A96" s="128"/>
      <c r="B96" s="151" t="s">
        <v>300</v>
      </c>
      <c r="C96" s="152">
        <v>10</v>
      </c>
      <c r="D96" s="191">
        <v>3</v>
      </c>
      <c r="E96" s="191">
        <f t="shared" si="1"/>
        <v>-7</v>
      </c>
      <c r="F96" s="191">
        <f t="shared" si="2"/>
        <v>30</v>
      </c>
      <c r="G96" s="122" t="s">
        <v>400</v>
      </c>
    </row>
    <row r="97" spans="1:24" ht="75" customHeight="1">
      <c r="A97" s="128"/>
      <c r="B97" s="151" t="s">
        <v>301</v>
      </c>
      <c r="C97" s="152">
        <v>40</v>
      </c>
      <c r="D97" s="191">
        <v>12</v>
      </c>
      <c r="E97" s="191">
        <f t="shared" si="1"/>
        <v>-28</v>
      </c>
      <c r="F97" s="191">
        <f t="shared" si="2"/>
        <v>30</v>
      </c>
      <c r="G97" s="122" t="s">
        <v>400</v>
      </c>
    </row>
    <row r="98" spans="1:24" s="198" customFormat="1" ht="38.25" customHeight="1">
      <c r="A98" s="197" t="s">
        <v>299</v>
      </c>
      <c r="B98" s="999" t="s">
        <v>84</v>
      </c>
      <c r="C98" s="1000"/>
      <c r="D98" s="1000"/>
      <c r="E98" s="1000"/>
      <c r="F98" s="1000"/>
      <c r="G98" s="1001"/>
      <c r="H98" s="124"/>
      <c r="I98" s="124"/>
      <c r="J98" s="124"/>
      <c r="K98" s="124"/>
      <c r="L98" s="124"/>
      <c r="M98" s="124"/>
      <c r="N98" s="124"/>
      <c r="O98" s="124"/>
      <c r="P98" s="124"/>
      <c r="Q98" s="124"/>
      <c r="R98" s="124"/>
      <c r="S98" s="124"/>
      <c r="T98" s="124"/>
      <c r="U98" s="124"/>
      <c r="V98" s="124"/>
      <c r="W98" s="124"/>
      <c r="X98" s="124"/>
    </row>
    <row r="99" spans="1:24" ht="47.25">
      <c r="A99" s="128"/>
      <c r="B99" s="183" t="s">
        <v>302</v>
      </c>
      <c r="C99" s="179">
        <v>25</v>
      </c>
      <c r="D99" s="191">
        <v>0</v>
      </c>
      <c r="E99" s="191">
        <f t="shared" si="1"/>
        <v>-25</v>
      </c>
      <c r="F99" s="191">
        <f t="shared" si="2"/>
        <v>0</v>
      </c>
      <c r="G99" s="122" t="s">
        <v>400</v>
      </c>
    </row>
    <row r="100" spans="1:24" ht="47.25">
      <c r="A100" s="200"/>
      <c r="B100" s="151" t="s">
        <v>303</v>
      </c>
      <c r="C100" s="152">
        <v>50</v>
      </c>
      <c r="D100" s="201">
        <v>0</v>
      </c>
      <c r="E100" s="191">
        <f t="shared" si="1"/>
        <v>-50</v>
      </c>
      <c r="F100" s="191">
        <f t="shared" si="2"/>
        <v>0</v>
      </c>
      <c r="G100" s="122" t="s">
        <v>400</v>
      </c>
    </row>
    <row r="101" spans="1:24" s="198" customFormat="1" ht="21.75" customHeight="1">
      <c r="A101" s="197" t="s">
        <v>306</v>
      </c>
      <c r="B101" s="999" t="s">
        <v>86</v>
      </c>
      <c r="C101" s="1000"/>
      <c r="D101" s="1000"/>
      <c r="E101" s="1000"/>
      <c r="F101" s="1000"/>
      <c r="G101" s="1001"/>
      <c r="H101" s="124"/>
      <c r="I101" s="124"/>
      <c r="J101" s="124"/>
      <c r="K101" s="124"/>
      <c r="L101" s="124"/>
      <c r="M101" s="124"/>
      <c r="N101" s="124"/>
      <c r="O101" s="124"/>
      <c r="P101" s="124"/>
      <c r="Q101" s="124"/>
      <c r="R101" s="124"/>
      <c r="S101" s="124"/>
      <c r="T101" s="124"/>
      <c r="U101" s="124"/>
      <c r="V101" s="124"/>
      <c r="W101" s="124"/>
      <c r="X101" s="124"/>
    </row>
    <row r="102" spans="1:24" ht="31.5">
      <c r="A102" s="200"/>
      <c r="B102" s="151" t="s">
        <v>307</v>
      </c>
      <c r="C102" s="163">
        <v>1200</v>
      </c>
      <c r="D102" s="202">
        <v>0</v>
      </c>
      <c r="E102" s="194">
        <f t="shared" si="1"/>
        <v>-1200</v>
      </c>
      <c r="F102" s="194">
        <f t="shared" si="2"/>
        <v>0</v>
      </c>
      <c r="G102" s="193" t="s">
        <v>390</v>
      </c>
    </row>
    <row r="103" spans="1:24" ht="31.5">
      <c r="A103" s="200"/>
      <c r="B103" s="151" t="s">
        <v>308</v>
      </c>
      <c r="C103" s="152">
        <v>2</v>
      </c>
      <c r="D103" s="201">
        <v>0</v>
      </c>
      <c r="E103" s="191">
        <f t="shared" si="1"/>
        <v>-2</v>
      </c>
      <c r="F103" s="191">
        <f t="shared" si="2"/>
        <v>0</v>
      </c>
      <c r="G103" s="122" t="s">
        <v>400</v>
      </c>
    </row>
    <row r="104" spans="1:24" ht="47.25">
      <c r="A104" s="200"/>
      <c r="B104" s="151" t="s">
        <v>309</v>
      </c>
      <c r="C104" s="155">
        <v>450</v>
      </c>
      <c r="D104" s="201">
        <v>0</v>
      </c>
      <c r="E104" s="191">
        <f t="shared" si="1"/>
        <v>-450</v>
      </c>
      <c r="F104" s="191">
        <f t="shared" si="2"/>
        <v>0</v>
      </c>
      <c r="G104" s="122" t="s">
        <v>400</v>
      </c>
    </row>
    <row r="105" spans="1:24" ht="47.25">
      <c r="A105" s="200"/>
      <c r="B105" s="151" t="s">
        <v>310</v>
      </c>
      <c r="C105" s="152">
        <v>600</v>
      </c>
      <c r="D105" s="201">
        <v>0</v>
      </c>
      <c r="E105" s="191">
        <f t="shared" si="1"/>
        <v>-600</v>
      </c>
      <c r="F105" s="191">
        <f t="shared" si="2"/>
        <v>0</v>
      </c>
      <c r="G105" s="122" t="s">
        <v>400</v>
      </c>
    </row>
    <row r="106" spans="1:24" ht="63">
      <c r="A106" s="200"/>
      <c r="B106" s="151" t="s">
        <v>311</v>
      </c>
      <c r="C106" s="152">
        <v>60</v>
      </c>
      <c r="D106" s="201">
        <v>0</v>
      </c>
      <c r="E106" s="191">
        <f t="shared" si="1"/>
        <v>-60</v>
      </c>
      <c r="F106" s="191">
        <f t="shared" si="2"/>
        <v>0</v>
      </c>
      <c r="G106" s="122" t="s">
        <v>400</v>
      </c>
    </row>
    <row r="107" spans="1:24" ht="23.25" customHeight="1">
      <c r="A107" s="128" t="s">
        <v>312</v>
      </c>
      <c r="B107" s="999" t="s">
        <v>89</v>
      </c>
      <c r="C107" s="1000"/>
      <c r="D107" s="1000"/>
      <c r="E107" s="1000"/>
      <c r="F107" s="1000"/>
      <c r="G107" s="1001"/>
    </row>
    <row r="108" spans="1:24">
      <c r="A108" s="128"/>
      <c r="B108" s="151" t="s">
        <v>249</v>
      </c>
      <c r="C108" s="163">
        <v>1200.7</v>
      </c>
      <c r="D108" s="194">
        <v>238.56</v>
      </c>
      <c r="E108" s="194">
        <f t="shared" si="1"/>
        <v>-962.1400000000001</v>
      </c>
      <c r="F108" s="195">
        <f t="shared" si="2"/>
        <v>19.86841009411177</v>
      </c>
      <c r="G108" s="122" t="s">
        <v>400</v>
      </c>
    </row>
    <row r="109" spans="1:24" ht="31.5">
      <c r="A109" s="128"/>
      <c r="B109" s="151" t="s">
        <v>314</v>
      </c>
      <c r="C109" s="152">
        <v>2170</v>
      </c>
      <c r="D109" s="191">
        <v>470</v>
      </c>
      <c r="E109" s="191">
        <f t="shared" si="1"/>
        <v>-1700</v>
      </c>
      <c r="F109" s="192">
        <f t="shared" si="2"/>
        <v>21.658986175115206</v>
      </c>
      <c r="G109" s="122" t="s">
        <v>400</v>
      </c>
    </row>
    <row r="110" spans="1:24" ht="31.5">
      <c r="A110" s="128"/>
      <c r="B110" s="151" t="s">
        <v>315</v>
      </c>
      <c r="C110" s="155">
        <v>0.55000000000000004</v>
      </c>
      <c r="D110" s="203">
        <f>D108/D109</f>
        <v>0.50757446808510642</v>
      </c>
      <c r="E110" s="203">
        <f t="shared" si="1"/>
        <v>-4.2425531914893622E-2</v>
      </c>
      <c r="F110" s="192">
        <f t="shared" si="2"/>
        <v>92.286266924564799</v>
      </c>
      <c r="G110" s="122" t="s">
        <v>400</v>
      </c>
    </row>
    <row r="111" spans="1:24" ht="47.25">
      <c r="A111" s="128"/>
      <c r="B111" s="151" t="s">
        <v>316</v>
      </c>
      <c r="C111" s="152">
        <v>5</v>
      </c>
      <c r="D111" s="191">
        <v>4.7</v>
      </c>
      <c r="E111" s="191">
        <f t="shared" si="1"/>
        <v>-0.29999999999999982</v>
      </c>
      <c r="F111" s="191">
        <f t="shared" si="2"/>
        <v>94</v>
      </c>
      <c r="G111" s="122" t="s">
        <v>400</v>
      </c>
    </row>
    <row r="112" spans="1:24" s="198" customFormat="1" ht="23.25" customHeight="1">
      <c r="A112" s="197" t="s">
        <v>313</v>
      </c>
      <c r="B112" s="999" t="s">
        <v>95</v>
      </c>
      <c r="C112" s="1000"/>
      <c r="D112" s="1000"/>
      <c r="E112" s="1000"/>
      <c r="F112" s="1000"/>
      <c r="G112" s="1001"/>
      <c r="H112" s="124"/>
      <c r="I112" s="124"/>
      <c r="J112" s="124"/>
      <c r="K112" s="124"/>
      <c r="L112" s="124"/>
      <c r="M112" s="124"/>
      <c r="N112" s="124"/>
      <c r="O112" s="124"/>
      <c r="P112" s="124"/>
      <c r="Q112" s="124"/>
      <c r="R112" s="124"/>
      <c r="S112" s="124"/>
      <c r="T112" s="124"/>
      <c r="U112" s="124"/>
      <c r="V112" s="124"/>
      <c r="W112" s="124"/>
      <c r="X112" s="124"/>
    </row>
    <row r="113" spans="1:24" ht="47.25">
      <c r="A113" s="128"/>
      <c r="B113" s="151" t="s">
        <v>317</v>
      </c>
      <c r="C113" s="152">
        <v>15</v>
      </c>
      <c r="D113" s="191">
        <v>0</v>
      </c>
      <c r="E113" s="191">
        <f t="shared" si="1"/>
        <v>-15</v>
      </c>
      <c r="F113" s="191">
        <f t="shared" si="2"/>
        <v>0</v>
      </c>
      <c r="G113" s="122" t="s">
        <v>400</v>
      </c>
    </row>
    <row r="114" spans="1:24" ht="47.25">
      <c r="A114" s="128"/>
      <c r="B114" s="151" t="s">
        <v>318</v>
      </c>
      <c r="C114" s="163"/>
      <c r="D114" s="146"/>
      <c r="E114" s="204"/>
      <c r="F114" s="204"/>
      <c r="G114" s="146"/>
    </row>
    <row r="115" spans="1:24">
      <c r="A115" s="205" t="s">
        <v>98</v>
      </c>
      <c r="B115" s="1032" t="s">
        <v>97</v>
      </c>
      <c r="C115" s="1032"/>
      <c r="D115" s="1032"/>
      <c r="E115" s="1032"/>
      <c r="F115" s="1032"/>
      <c r="G115" s="1032"/>
    </row>
    <row r="116" spans="1:24">
      <c r="A116" s="207"/>
      <c r="B116" s="1032" t="s">
        <v>100</v>
      </c>
      <c r="C116" s="1032"/>
      <c r="D116" s="1032"/>
      <c r="E116" s="1032"/>
      <c r="F116" s="1032"/>
      <c r="G116" s="1032"/>
    </row>
    <row r="117" spans="1:24" ht="63">
      <c r="A117" s="207"/>
      <c r="B117" s="146" t="s">
        <v>210</v>
      </c>
      <c r="C117" s="116">
        <v>500</v>
      </c>
      <c r="D117" s="117">
        <v>143</v>
      </c>
      <c r="E117" s="143">
        <f t="shared" ref="E117:E124" si="3">D117-C117</f>
        <v>-357</v>
      </c>
      <c r="F117" s="143">
        <f>D117/C117*100</f>
        <v>28.599999999999998</v>
      </c>
      <c r="G117" s="122" t="s">
        <v>402</v>
      </c>
    </row>
    <row r="118" spans="1:24" ht="63">
      <c r="A118" s="207"/>
      <c r="B118" s="146" t="s">
        <v>211</v>
      </c>
      <c r="C118" s="114">
        <v>50</v>
      </c>
      <c r="D118" s="143">
        <v>24</v>
      </c>
      <c r="E118" s="143">
        <f t="shared" si="3"/>
        <v>-26</v>
      </c>
      <c r="F118" s="143">
        <f>D118/C118*100</f>
        <v>48</v>
      </c>
      <c r="G118" s="122" t="s">
        <v>400</v>
      </c>
    </row>
    <row r="119" spans="1:24" s="149" customFormat="1">
      <c r="A119" s="208"/>
      <c r="B119" s="1005" t="s">
        <v>101</v>
      </c>
      <c r="C119" s="1005"/>
      <c r="D119" s="1005"/>
      <c r="E119" s="1005"/>
      <c r="F119" s="1005"/>
      <c r="G119" s="1006"/>
      <c r="H119" s="124"/>
      <c r="I119" s="124"/>
      <c r="J119" s="124"/>
      <c r="K119" s="124"/>
      <c r="L119" s="124"/>
      <c r="M119" s="124"/>
      <c r="N119" s="124"/>
      <c r="O119" s="124"/>
      <c r="P119" s="124"/>
      <c r="Q119" s="124"/>
      <c r="R119" s="124"/>
      <c r="S119" s="124"/>
      <c r="T119" s="124"/>
      <c r="U119" s="124"/>
      <c r="V119" s="124"/>
      <c r="W119" s="124"/>
      <c r="X119" s="124"/>
    </row>
    <row r="120" spans="1:24" ht="63">
      <c r="A120" s="209"/>
      <c r="B120" s="113" t="s">
        <v>212</v>
      </c>
      <c r="C120" s="116">
        <v>20</v>
      </c>
      <c r="D120" s="117">
        <v>39</v>
      </c>
      <c r="E120" s="143">
        <f t="shared" si="3"/>
        <v>19</v>
      </c>
      <c r="F120" s="143">
        <f>D120/C120*100</f>
        <v>195</v>
      </c>
      <c r="G120" s="122" t="s">
        <v>402</v>
      </c>
    </row>
    <row r="121" spans="1:24" ht="47.25">
      <c r="A121" s="210"/>
      <c r="B121" s="113" t="s">
        <v>213</v>
      </c>
      <c r="C121" s="116">
        <v>23</v>
      </c>
      <c r="D121" s="117">
        <v>30</v>
      </c>
      <c r="E121" s="143">
        <f t="shared" si="3"/>
        <v>7</v>
      </c>
      <c r="F121" s="143">
        <f>D121/C121*100</f>
        <v>130.43478260869566</v>
      </c>
      <c r="G121" s="122" t="s">
        <v>400</v>
      </c>
    </row>
    <row r="122" spans="1:24">
      <c r="A122" s="211" t="s">
        <v>103</v>
      </c>
      <c r="B122" s="996" t="s">
        <v>102</v>
      </c>
      <c r="C122" s="997"/>
      <c r="D122" s="997"/>
      <c r="E122" s="997"/>
      <c r="F122" s="997"/>
      <c r="G122" s="998"/>
    </row>
    <row r="123" spans="1:24" ht="47.25">
      <c r="A123" s="159"/>
      <c r="B123" s="134" t="s">
        <v>214</v>
      </c>
      <c r="C123" s="114">
        <v>15100</v>
      </c>
      <c r="D123" s="114">
        <v>11981</v>
      </c>
      <c r="E123" s="143">
        <f t="shared" si="3"/>
        <v>-3119</v>
      </c>
      <c r="F123" s="143">
        <f>D123/C123*100</f>
        <v>79.344370860927143</v>
      </c>
      <c r="G123" s="122" t="s">
        <v>400</v>
      </c>
    </row>
    <row r="124" spans="1:24" ht="63">
      <c r="A124" s="144"/>
      <c r="B124" s="134" t="s">
        <v>215</v>
      </c>
      <c r="C124" s="114">
        <v>63.3</v>
      </c>
      <c r="D124" s="114">
        <v>51</v>
      </c>
      <c r="E124" s="143">
        <f t="shared" si="3"/>
        <v>-12.299999999999997</v>
      </c>
      <c r="F124" s="143">
        <f>D124/C124*100</f>
        <v>80.568720379146924</v>
      </c>
      <c r="G124" s="122" t="s">
        <v>400</v>
      </c>
    </row>
    <row r="125" spans="1:24" ht="33.75" customHeight="1">
      <c r="A125" s="205" t="s">
        <v>105</v>
      </c>
      <c r="B125" s="999" t="s">
        <v>104</v>
      </c>
      <c r="C125" s="1000"/>
      <c r="D125" s="1000"/>
      <c r="E125" s="1000"/>
      <c r="F125" s="1000"/>
      <c r="G125" s="1001"/>
    </row>
    <row r="126" spans="1:24" ht="21.75" customHeight="1">
      <c r="A126" s="205" t="s">
        <v>1</v>
      </c>
      <c r="B126" s="999" t="s">
        <v>106</v>
      </c>
      <c r="C126" s="1000"/>
      <c r="D126" s="1000"/>
      <c r="E126" s="1000"/>
      <c r="F126" s="1000"/>
      <c r="G126" s="1001"/>
    </row>
    <row r="127" spans="1:24" ht="138.75" customHeight="1">
      <c r="A127" s="205"/>
      <c r="B127" s="176" t="s">
        <v>287</v>
      </c>
      <c r="C127" s="163">
        <v>715.14</v>
      </c>
      <c r="D127" s="202">
        <v>972.14</v>
      </c>
      <c r="E127" s="194">
        <f>D127-C127</f>
        <v>257</v>
      </c>
      <c r="F127" s="195">
        <f>D127/C127*100</f>
        <v>135.93701932488744</v>
      </c>
      <c r="G127" s="193" t="s">
        <v>394</v>
      </c>
    </row>
    <row r="128" spans="1:24" ht="31.5">
      <c r="A128" s="205"/>
      <c r="B128" s="151" t="s">
        <v>319</v>
      </c>
      <c r="C128" s="152">
        <v>2400</v>
      </c>
      <c r="D128" s="201">
        <v>890</v>
      </c>
      <c r="E128" s="191">
        <f t="shared" ref="E128:E136" si="4">D128-C128</f>
        <v>-1510</v>
      </c>
      <c r="F128" s="192">
        <f t="shared" ref="F128:F136" si="5">D128/C128*100</f>
        <v>37.083333333333336</v>
      </c>
      <c r="G128" s="122" t="s">
        <v>400</v>
      </c>
    </row>
    <row r="129" spans="1:24" ht="47.25">
      <c r="A129" s="205"/>
      <c r="B129" s="151" t="s">
        <v>320</v>
      </c>
      <c r="C129" s="181">
        <f>C127/C128</f>
        <v>0.29797499999999999</v>
      </c>
      <c r="D129" s="181">
        <f>D127/D128</f>
        <v>1.0922921348314607</v>
      </c>
      <c r="E129" s="203">
        <f t="shared" si="4"/>
        <v>0.79431713483146071</v>
      </c>
      <c r="F129" s="192">
        <f t="shared" si="5"/>
        <v>366.57173750531445</v>
      </c>
      <c r="G129" s="122" t="s">
        <v>400</v>
      </c>
    </row>
    <row r="130" spans="1:24" ht="63">
      <c r="A130" s="205"/>
      <c r="B130" s="151" t="s">
        <v>323</v>
      </c>
      <c r="C130" s="152">
        <v>68</v>
      </c>
      <c r="D130" s="191">
        <v>52.8</v>
      </c>
      <c r="E130" s="191">
        <f t="shared" si="4"/>
        <v>-15.200000000000003</v>
      </c>
      <c r="F130" s="192">
        <f t="shared" si="5"/>
        <v>77.647058823529406</v>
      </c>
      <c r="G130" s="122" t="s">
        <v>400</v>
      </c>
    </row>
    <row r="131" spans="1:24" ht="21" customHeight="1">
      <c r="A131" s="205" t="s">
        <v>327</v>
      </c>
      <c r="B131" s="1029" t="s">
        <v>107</v>
      </c>
      <c r="C131" s="1030"/>
      <c r="D131" s="1030"/>
      <c r="E131" s="1030"/>
      <c r="F131" s="1030"/>
      <c r="G131" s="1031"/>
    </row>
    <row r="132" spans="1:24" ht="78.75">
      <c r="A132" s="205"/>
      <c r="B132" s="151" t="s">
        <v>321</v>
      </c>
      <c r="C132" s="152">
        <v>68</v>
      </c>
      <c r="D132" s="191">
        <v>0</v>
      </c>
      <c r="E132" s="191">
        <f t="shared" si="4"/>
        <v>-68</v>
      </c>
      <c r="F132" s="191">
        <f t="shared" si="5"/>
        <v>0</v>
      </c>
      <c r="G132" s="122" t="s">
        <v>400</v>
      </c>
    </row>
    <row r="133" spans="1:24" ht="78.75">
      <c r="A133" s="205"/>
      <c r="B133" s="151" t="s">
        <v>322</v>
      </c>
      <c r="C133" s="152">
        <v>35</v>
      </c>
      <c r="D133" s="191">
        <v>0</v>
      </c>
      <c r="E133" s="191">
        <f t="shared" si="4"/>
        <v>-35</v>
      </c>
      <c r="F133" s="191">
        <f t="shared" si="5"/>
        <v>0</v>
      </c>
      <c r="G133" s="122" t="s">
        <v>400</v>
      </c>
    </row>
    <row r="134" spans="1:24" ht="18.75" customHeight="1">
      <c r="A134" s="205" t="s">
        <v>328</v>
      </c>
      <c r="B134" s="1029" t="s">
        <v>109</v>
      </c>
      <c r="C134" s="1030"/>
      <c r="D134" s="1030"/>
      <c r="E134" s="1030"/>
      <c r="F134" s="1030"/>
      <c r="G134" s="1031"/>
    </row>
    <row r="135" spans="1:24" ht="63">
      <c r="A135" s="205"/>
      <c r="B135" s="151" t="s">
        <v>324</v>
      </c>
      <c r="C135" s="152">
        <v>704</v>
      </c>
      <c r="D135" s="191">
        <v>0</v>
      </c>
      <c r="E135" s="191">
        <f t="shared" si="4"/>
        <v>-704</v>
      </c>
      <c r="F135" s="191">
        <f t="shared" si="5"/>
        <v>0</v>
      </c>
      <c r="G135" s="122" t="s">
        <v>400</v>
      </c>
    </row>
    <row r="136" spans="1:24" ht="78.75">
      <c r="A136" s="205"/>
      <c r="B136" s="151" t="s">
        <v>325</v>
      </c>
      <c r="C136" s="152">
        <v>20</v>
      </c>
      <c r="D136" s="191">
        <v>0</v>
      </c>
      <c r="E136" s="191">
        <f t="shared" si="4"/>
        <v>-20</v>
      </c>
      <c r="F136" s="191">
        <f t="shared" si="5"/>
        <v>0</v>
      </c>
      <c r="G136" s="122" t="s">
        <v>400</v>
      </c>
    </row>
    <row r="137" spans="1:24">
      <c r="A137" s="212" t="s">
        <v>3</v>
      </c>
      <c r="B137" s="999" t="s">
        <v>110</v>
      </c>
      <c r="C137" s="1000"/>
      <c r="D137" s="1000"/>
      <c r="E137" s="1000"/>
      <c r="F137" s="1000"/>
      <c r="G137" s="1001"/>
    </row>
    <row r="138" spans="1:24">
      <c r="A138" s="213"/>
      <c r="B138" s="113" t="s">
        <v>196</v>
      </c>
      <c r="C138" s="214">
        <v>9390</v>
      </c>
      <c r="D138" s="215">
        <v>615.88</v>
      </c>
      <c r="E138" s="215">
        <f>D138-C138</f>
        <v>-8774.1200000000008</v>
      </c>
      <c r="F138" s="121">
        <f>D138/C138*100</f>
        <v>6.5588924387646435</v>
      </c>
      <c r="G138" s="122" t="s">
        <v>400</v>
      </c>
    </row>
    <row r="139" spans="1:24" ht="31.5">
      <c r="A139" s="209"/>
      <c r="B139" s="113" t="s">
        <v>216</v>
      </c>
      <c r="C139" s="116">
        <v>600</v>
      </c>
      <c r="D139" s="117">
        <v>324</v>
      </c>
      <c r="E139" s="143">
        <f t="shared" ref="E139:E185" si="6">D139-C139</f>
        <v>-276</v>
      </c>
      <c r="F139" s="143">
        <f>D139/C139*100</f>
        <v>54</v>
      </c>
      <c r="G139" s="122" t="s">
        <v>400</v>
      </c>
    </row>
    <row r="140" spans="1:24" ht="31.5">
      <c r="A140" s="209"/>
      <c r="B140" s="113" t="s">
        <v>217</v>
      </c>
      <c r="C140" s="133">
        <f>C138/C139</f>
        <v>15.65</v>
      </c>
      <c r="D140" s="133">
        <f>D138/D139</f>
        <v>1.9008641975308642</v>
      </c>
      <c r="E140" s="142">
        <f t="shared" si="6"/>
        <v>-13.749135802469135</v>
      </c>
      <c r="F140" s="143">
        <f>D140/C140*100</f>
        <v>12.146097108823414</v>
      </c>
      <c r="G140" s="122" t="s">
        <v>400</v>
      </c>
    </row>
    <row r="141" spans="1:24" ht="83.25" customHeight="1">
      <c r="A141" s="210"/>
      <c r="B141" s="113" t="s">
        <v>218</v>
      </c>
      <c r="C141" s="116">
        <v>70</v>
      </c>
      <c r="D141" s="117">
        <v>87.96</v>
      </c>
      <c r="E141" s="143">
        <f t="shared" si="6"/>
        <v>17.959999999999994</v>
      </c>
      <c r="F141" s="143">
        <f>D141/C141*100</f>
        <v>125.65714285714284</v>
      </c>
      <c r="G141" s="122" t="s">
        <v>400</v>
      </c>
    </row>
    <row r="142" spans="1:24" s="149" customFormat="1">
      <c r="A142" s="208" t="s">
        <v>4</v>
      </c>
      <c r="B142" s="999" t="s">
        <v>111</v>
      </c>
      <c r="C142" s="1000"/>
      <c r="D142" s="1000"/>
      <c r="E142" s="1000"/>
      <c r="F142" s="1000"/>
      <c r="G142" s="1001"/>
      <c r="H142" s="124"/>
      <c r="I142" s="124"/>
      <c r="J142" s="124"/>
      <c r="K142" s="124"/>
      <c r="L142" s="124"/>
      <c r="M142" s="124"/>
      <c r="N142" s="124"/>
      <c r="O142" s="124"/>
      <c r="P142" s="124"/>
      <c r="Q142" s="124"/>
      <c r="R142" s="124"/>
      <c r="S142" s="124"/>
      <c r="T142" s="124"/>
      <c r="U142" s="124"/>
      <c r="V142" s="124"/>
      <c r="W142" s="124"/>
      <c r="X142" s="124"/>
    </row>
    <row r="143" spans="1:24" ht="63">
      <c r="A143" s="213"/>
      <c r="B143" s="113" t="s">
        <v>219</v>
      </c>
      <c r="C143" s="114">
        <v>1267</v>
      </c>
      <c r="D143" s="143">
        <v>249</v>
      </c>
      <c r="E143" s="143">
        <f t="shared" si="6"/>
        <v>-1018</v>
      </c>
      <c r="F143" s="143">
        <f>D143/C143*100</f>
        <v>19.652722967640095</v>
      </c>
      <c r="G143" s="122" t="s">
        <v>400</v>
      </c>
    </row>
    <row r="144" spans="1:24" ht="63">
      <c r="A144" s="210"/>
      <c r="B144" s="113" t="s">
        <v>220</v>
      </c>
      <c r="C144" s="116">
        <v>40</v>
      </c>
      <c r="D144" s="117">
        <v>27.98</v>
      </c>
      <c r="E144" s="143">
        <f t="shared" si="6"/>
        <v>-12.02</v>
      </c>
      <c r="F144" s="143">
        <f>D144/C144*100</f>
        <v>69.95</v>
      </c>
      <c r="G144" s="122" t="s">
        <v>400</v>
      </c>
    </row>
    <row r="145" spans="1:7" ht="21.75" customHeight="1">
      <c r="A145" s="210" t="s">
        <v>329</v>
      </c>
      <c r="B145" s="999" t="s">
        <v>112</v>
      </c>
      <c r="C145" s="1000"/>
      <c r="D145" s="1000"/>
      <c r="E145" s="1000"/>
      <c r="F145" s="1000"/>
      <c r="G145" s="1001"/>
    </row>
    <row r="146" spans="1:7" ht="88.5" customHeight="1">
      <c r="A146" s="216"/>
      <c r="B146" s="176" t="s">
        <v>307</v>
      </c>
      <c r="C146" s="152">
        <v>881.31</v>
      </c>
      <c r="D146" s="217">
        <v>45.69</v>
      </c>
      <c r="E146" s="143">
        <f t="shared" si="6"/>
        <v>-835.61999999999989</v>
      </c>
      <c r="F146" s="143">
        <f t="shared" ref="F146:F185" si="7">D146/C146*100</f>
        <v>5.1843278755488988</v>
      </c>
      <c r="G146" s="122" t="s">
        <v>395</v>
      </c>
    </row>
    <row r="147" spans="1:7" ht="47.25">
      <c r="A147" s="216"/>
      <c r="B147" s="151" t="s">
        <v>330</v>
      </c>
      <c r="C147" s="155">
        <v>1200</v>
      </c>
      <c r="D147" s="217">
        <v>307</v>
      </c>
      <c r="E147" s="143">
        <f t="shared" si="6"/>
        <v>-893</v>
      </c>
      <c r="F147" s="143">
        <f t="shared" si="7"/>
        <v>25.583333333333336</v>
      </c>
      <c r="G147" s="122" t="s">
        <v>400</v>
      </c>
    </row>
    <row r="148" spans="1:7" ht="47.25">
      <c r="A148" s="216"/>
      <c r="B148" s="151" t="s">
        <v>331</v>
      </c>
      <c r="C148" s="155">
        <v>0.73</v>
      </c>
      <c r="D148" s="182">
        <f>D146/D147</f>
        <v>0.14882736156351792</v>
      </c>
      <c r="E148" s="143">
        <f t="shared" si="6"/>
        <v>-0.58117263843648204</v>
      </c>
      <c r="F148" s="143">
        <f t="shared" si="7"/>
        <v>20.387309803221633</v>
      </c>
      <c r="G148" s="122" t="s">
        <v>400</v>
      </c>
    </row>
    <row r="149" spans="1:7" ht="63">
      <c r="A149" s="216"/>
      <c r="B149" s="151" t="s">
        <v>332</v>
      </c>
      <c r="C149" s="152">
        <v>50</v>
      </c>
      <c r="D149" s="218">
        <v>34.49</v>
      </c>
      <c r="E149" s="143">
        <f t="shared" si="6"/>
        <v>-15.509999999999998</v>
      </c>
      <c r="F149" s="143">
        <f t="shared" si="7"/>
        <v>68.98</v>
      </c>
      <c r="G149" s="122" t="s">
        <v>400</v>
      </c>
    </row>
    <row r="150" spans="1:7" ht="35.25" customHeight="1">
      <c r="A150" s="210" t="s">
        <v>333</v>
      </c>
      <c r="B150" s="999" t="s">
        <v>114</v>
      </c>
      <c r="C150" s="1000"/>
      <c r="D150" s="1000"/>
      <c r="E150" s="1000"/>
      <c r="F150" s="1000"/>
      <c r="G150" s="1001"/>
    </row>
    <row r="151" spans="1:7" ht="20.25" customHeight="1">
      <c r="A151" s="207" t="s">
        <v>336</v>
      </c>
      <c r="B151" s="999" t="s">
        <v>334</v>
      </c>
      <c r="C151" s="1000"/>
      <c r="D151" s="1000"/>
      <c r="E151" s="1000"/>
      <c r="F151" s="1000"/>
      <c r="G151" s="1001"/>
    </row>
    <row r="152" spans="1:7" ht="63">
      <c r="A152" s="207"/>
      <c r="B152" s="176" t="s">
        <v>249</v>
      </c>
      <c r="C152" s="163">
        <v>375.54399999999998</v>
      </c>
      <c r="D152" s="120">
        <v>928.27</v>
      </c>
      <c r="E152" s="121">
        <f t="shared" si="6"/>
        <v>552.726</v>
      </c>
      <c r="F152" s="121">
        <f t="shared" si="7"/>
        <v>247.18009074835439</v>
      </c>
      <c r="G152" s="122" t="s">
        <v>391</v>
      </c>
    </row>
    <row r="153" spans="1:7" ht="47.25">
      <c r="A153" s="207"/>
      <c r="B153" s="176" t="s">
        <v>344</v>
      </c>
      <c r="C153" s="152">
        <v>2400</v>
      </c>
      <c r="D153" s="117">
        <v>890</v>
      </c>
      <c r="E153" s="143">
        <f t="shared" si="6"/>
        <v>-1510</v>
      </c>
      <c r="F153" s="143">
        <f t="shared" si="7"/>
        <v>37.083333333333336</v>
      </c>
      <c r="G153" s="122" t="s">
        <v>400</v>
      </c>
    </row>
    <row r="154" spans="1:7" ht="31.5">
      <c r="A154" s="207"/>
      <c r="B154" s="176" t="s">
        <v>345</v>
      </c>
      <c r="C154" s="181">
        <f>C152/C153</f>
        <v>0.15647666666666665</v>
      </c>
      <c r="D154" s="181">
        <f>D152/D153</f>
        <v>1.0429999999999999</v>
      </c>
      <c r="E154" s="143">
        <f t="shared" si="6"/>
        <v>0.88652333333333333</v>
      </c>
      <c r="F154" s="143">
        <f t="shared" si="7"/>
        <v>666.55305370342762</v>
      </c>
      <c r="G154" s="122" t="s">
        <v>400</v>
      </c>
    </row>
    <row r="155" spans="1:7" ht="63">
      <c r="A155" s="207"/>
      <c r="B155" s="176" t="s">
        <v>346</v>
      </c>
      <c r="C155" s="152">
        <v>100</v>
      </c>
      <c r="D155" s="117">
        <v>100</v>
      </c>
      <c r="E155" s="143">
        <f t="shared" si="6"/>
        <v>0</v>
      </c>
      <c r="F155" s="143">
        <f t="shared" si="7"/>
        <v>100</v>
      </c>
      <c r="G155" s="122" t="s">
        <v>400</v>
      </c>
    </row>
    <row r="156" spans="1:7">
      <c r="A156" s="207" t="s">
        <v>337</v>
      </c>
      <c r="B156" s="999" t="s">
        <v>120</v>
      </c>
      <c r="C156" s="1000"/>
      <c r="D156" s="1000"/>
      <c r="E156" s="1000"/>
      <c r="F156" s="1000"/>
      <c r="G156" s="1001"/>
    </row>
    <row r="157" spans="1:7" ht="66.75" customHeight="1">
      <c r="A157" s="207"/>
      <c r="B157" s="176" t="s">
        <v>249</v>
      </c>
      <c r="C157" s="152">
        <v>1096.355</v>
      </c>
      <c r="D157" s="117">
        <v>2726.45</v>
      </c>
      <c r="E157" s="143">
        <f t="shared" si="6"/>
        <v>1630.0949999999998</v>
      </c>
      <c r="F157" s="143">
        <f t="shared" si="7"/>
        <v>248.68313639286544</v>
      </c>
      <c r="G157" s="122" t="s">
        <v>391</v>
      </c>
    </row>
    <row r="158" spans="1:7" ht="47.25">
      <c r="A158" s="207"/>
      <c r="B158" s="176" t="s">
        <v>347</v>
      </c>
      <c r="C158" s="152">
        <v>3520</v>
      </c>
      <c r="D158" s="117">
        <v>890</v>
      </c>
      <c r="E158" s="143">
        <f t="shared" si="6"/>
        <v>-2630</v>
      </c>
      <c r="F158" s="143">
        <f t="shared" si="7"/>
        <v>25.28409090909091</v>
      </c>
      <c r="G158" s="122" t="s">
        <v>400</v>
      </c>
    </row>
    <row r="159" spans="1:7" ht="31.5">
      <c r="A159" s="207"/>
      <c r="B159" s="176" t="s">
        <v>348</v>
      </c>
      <c r="C159" s="152">
        <v>0.31</v>
      </c>
      <c r="D159" s="219">
        <f>D157/D158</f>
        <v>3.0634269662921345</v>
      </c>
      <c r="E159" s="143">
        <f t="shared" si="6"/>
        <v>2.7534269662921345</v>
      </c>
      <c r="F159" s="143">
        <f t="shared" si="7"/>
        <v>988.20224719101122</v>
      </c>
      <c r="G159" s="122" t="s">
        <v>400</v>
      </c>
    </row>
    <row r="160" spans="1:7" ht="47.25">
      <c r="A160" s="207"/>
      <c r="B160" s="176" t="s">
        <v>349</v>
      </c>
      <c r="C160" s="152">
        <v>100</v>
      </c>
      <c r="D160" s="117">
        <v>100</v>
      </c>
      <c r="E160" s="143">
        <f t="shared" si="6"/>
        <v>0</v>
      </c>
      <c r="F160" s="143">
        <f t="shared" si="7"/>
        <v>100</v>
      </c>
      <c r="G160" s="122" t="s">
        <v>400</v>
      </c>
    </row>
    <row r="161" spans="1:7" ht="19.5" customHeight="1">
      <c r="A161" s="207" t="s">
        <v>338</v>
      </c>
      <c r="B161" s="999" t="s">
        <v>121</v>
      </c>
      <c r="C161" s="1000"/>
      <c r="D161" s="1000"/>
      <c r="E161" s="1000"/>
      <c r="F161" s="1000"/>
      <c r="G161" s="1001"/>
    </row>
    <row r="162" spans="1:7" ht="63">
      <c r="A162" s="207"/>
      <c r="B162" s="176" t="s">
        <v>249</v>
      </c>
      <c r="C162" s="152">
        <v>219.542</v>
      </c>
      <c r="D162" s="117">
        <v>120.42</v>
      </c>
      <c r="E162" s="143">
        <f t="shared" si="6"/>
        <v>-99.122</v>
      </c>
      <c r="F162" s="143">
        <f t="shared" si="7"/>
        <v>54.850552513869786</v>
      </c>
      <c r="G162" s="122" t="s">
        <v>392</v>
      </c>
    </row>
    <row r="163" spans="1:7" ht="47.25">
      <c r="A163" s="207"/>
      <c r="B163" s="176" t="s">
        <v>350</v>
      </c>
      <c r="C163" s="152">
        <v>3520</v>
      </c>
      <c r="D163" s="117">
        <v>890</v>
      </c>
      <c r="E163" s="143">
        <f t="shared" si="6"/>
        <v>-2630</v>
      </c>
      <c r="F163" s="143">
        <f t="shared" si="7"/>
        <v>25.28409090909091</v>
      </c>
      <c r="G163" s="122" t="s">
        <v>400</v>
      </c>
    </row>
    <row r="164" spans="1:7" ht="47.25">
      <c r="A164" s="207"/>
      <c r="B164" s="176" t="s">
        <v>351</v>
      </c>
      <c r="C164" s="155">
        <v>0.06</v>
      </c>
      <c r="D164" s="219">
        <f>D162/D163</f>
        <v>0.13530337078651686</v>
      </c>
      <c r="E164" s="143">
        <f t="shared" si="6"/>
        <v>7.530337078651686E-2</v>
      </c>
      <c r="F164" s="143">
        <f t="shared" si="7"/>
        <v>225.50561797752812</v>
      </c>
      <c r="G164" s="122" t="s">
        <v>400</v>
      </c>
    </row>
    <row r="165" spans="1:7" ht="47.25">
      <c r="A165" s="207"/>
      <c r="B165" s="176" t="s">
        <v>352</v>
      </c>
      <c r="C165" s="152">
        <v>100</v>
      </c>
      <c r="D165" s="117">
        <v>100</v>
      </c>
      <c r="E165" s="143">
        <f t="shared" si="6"/>
        <v>0</v>
      </c>
      <c r="F165" s="143">
        <f t="shared" si="7"/>
        <v>100</v>
      </c>
      <c r="G165" s="122" t="s">
        <v>400</v>
      </c>
    </row>
    <row r="166" spans="1:7" ht="21" customHeight="1">
      <c r="A166" s="207" t="s">
        <v>339</v>
      </c>
      <c r="B166" s="999" t="s">
        <v>341</v>
      </c>
      <c r="C166" s="1000"/>
      <c r="D166" s="1000"/>
      <c r="E166" s="1000"/>
      <c r="F166" s="1000"/>
      <c r="G166" s="1001"/>
    </row>
    <row r="167" spans="1:7" ht="21" customHeight="1">
      <c r="A167" s="207" t="s">
        <v>340</v>
      </c>
      <c r="B167" s="999" t="s">
        <v>335</v>
      </c>
      <c r="C167" s="1000"/>
      <c r="D167" s="1000"/>
      <c r="E167" s="1000"/>
      <c r="F167" s="1000"/>
      <c r="G167" s="1001"/>
    </row>
    <row r="168" spans="1:7" ht="204.75">
      <c r="A168" s="207"/>
      <c r="B168" s="176" t="s">
        <v>249</v>
      </c>
      <c r="C168" s="152">
        <v>1527</v>
      </c>
      <c r="D168" s="117">
        <v>405.79</v>
      </c>
      <c r="E168" s="143">
        <f t="shared" si="6"/>
        <v>-1121.21</v>
      </c>
      <c r="F168" s="143">
        <f t="shared" si="7"/>
        <v>26.574328749181404</v>
      </c>
      <c r="G168" s="122" t="s">
        <v>396</v>
      </c>
    </row>
    <row r="169" spans="1:7" ht="31.5">
      <c r="A169" s="207"/>
      <c r="B169" s="176" t="s">
        <v>353</v>
      </c>
      <c r="C169" s="152"/>
      <c r="D169" s="117"/>
      <c r="E169" s="143"/>
      <c r="F169" s="143"/>
      <c r="G169" s="115"/>
    </row>
    <row r="170" spans="1:7">
      <c r="A170" s="207"/>
      <c r="B170" s="220" t="s">
        <v>241</v>
      </c>
      <c r="C170" s="152">
        <v>3000</v>
      </c>
      <c r="D170" s="117">
        <v>358</v>
      </c>
      <c r="E170" s="143">
        <f t="shared" si="6"/>
        <v>-2642</v>
      </c>
      <c r="F170" s="143">
        <f t="shared" si="7"/>
        <v>11.933333333333334</v>
      </c>
      <c r="G170" s="122" t="s">
        <v>400</v>
      </c>
    </row>
    <row r="171" spans="1:7">
      <c r="A171" s="207"/>
      <c r="B171" s="220" t="s">
        <v>242</v>
      </c>
      <c r="C171" s="152">
        <v>1250</v>
      </c>
      <c r="D171" s="117">
        <v>1001</v>
      </c>
      <c r="E171" s="143">
        <f t="shared" si="6"/>
        <v>-249</v>
      </c>
      <c r="F171" s="143">
        <f t="shared" si="7"/>
        <v>80.08</v>
      </c>
      <c r="G171" s="122" t="s">
        <v>400</v>
      </c>
    </row>
    <row r="172" spans="1:7">
      <c r="A172" s="207"/>
      <c r="B172" s="220" t="s">
        <v>243</v>
      </c>
      <c r="C172" s="152">
        <v>100</v>
      </c>
      <c r="D172" s="117">
        <v>160</v>
      </c>
      <c r="E172" s="143">
        <f t="shared" si="6"/>
        <v>60</v>
      </c>
      <c r="F172" s="143">
        <f t="shared" si="7"/>
        <v>160</v>
      </c>
      <c r="G172" s="122" t="s">
        <v>400</v>
      </c>
    </row>
    <row r="173" spans="1:7">
      <c r="A173" s="207"/>
      <c r="B173" s="220" t="s">
        <v>244</v>
      </c>
      <c r="C173" s="152">
        <v>100</v>
      </c>
      <c r="D173" s="117">
        <v>173</v>
      </c>
      <c r="E173" s="143">
        <f t="shared" si="6"/>
        <v>73</v>
      </c>
      <c r="F173" s="143">
        <f t="shared" si="7"/>
        <v>173</v>
      </c>
      <c r="G173" s="122" t="s">
        <v>400</v>
      </c>
    </row>
    <row r="174" spans="1:7" ht="47.25">
      <c r="A174" s="207"/>
      <c r="B174" s="176" t="s">
        <v>354</v>
      </c>
      <c r="C174" s="155">
        <v>1.1000000000000001</v>
      </c>
      <c r="D174" s="117">
        <v>0.24</v>
      </c>
      <c r="E174" s="143">
        <f t="shared" si="6"/>
        <v>-0.8600000000000001</v>
      </c>
      <c r="F174" s="143">
        <f t="shared" si="7"/>
        <v>21.818181818181813</v>
      </c>
      <c r="G174" s="122" t="s">
        <v>400</v>
      </c>
    </row>
    <row r="175" spans="1:7" ht="54" customHeight="1">
      <c r="A175" s="207"/>
      <c r="B175" s="176" t="s">
        <v>355</v>
      </c>
      <c r="C175" s="155">
        <v>100</v>
      </c>
      <c r="D175" s="117">
        <v>100</v>
      </c>
      <c r="E175" s="143">
        <f t="shared" si="6"/>
        <v>0</v>
      </c>
      <c r="F175" s="143">
        <f t="shared" si="7"/>
        <v>100</v>
      </c>
      <c r="G175" s="122" t="s">
        <v>400</v>
      </c>
    </row>
    <row r="176" spans="1:7">
      <c r="A176" s="207" t="s">
        <v>342</v>
      </c>
      <c r="B176" s="999" t="s">
        <v>128</v>
      </c>
      <c r="C176" s="1000"/>
      <c r="D176" s="1000"/>
      <c r="E176" s="1000"/>
      <c r="F176" s="1000"/>
      <c r="G176" s="1001"/>
    </row>
    <row r="177" spans="1:24" ht="196.5" customHeight="1">
      <c r="A177" s="207"/>
      <c r="B177" s="176" t="s">
        <v>249</v>
      </c>
      <c r="C177" s="152">
        <v>3383.6909999999998</v>
      </c>
      <c r="D177" s="117">
        <v>1879.97</v>
      </c>
      <c r="E177" s="143">
        <f t="shared" si="6"/>
        <v>-1503.7209999999998</v>
      </c>
      <c r="F177" s="143">
        <f t="shared" si="7"/>
        <v>55.559742305074558</v>
      </c>
      <c r="G177" s="122" t="s">
        <v>397</v>
      </c>
    </row>
    <row r="178" spans="1:24" ht="31.5">
      <c r="A178" s="207"/>
      <c r="B178" s="176" t="s">
        <v>356</v>
      </c>
      <c r="C178" s="155">
        <v>510</v>
      </c>
      <c r="D178" s="117">
        <v>243</v>
      </c>
      <c r="E178" s="143">
        <f t="shared" si="6"/>
        <v>-267</v>
      </c>
      <c r="F178" s="143">
        <f t="shared" si="7"/>
        <v>47.647058823529406</v>
      </c>
      <c r="G178" s="122" t="s">
        <v>400</v>
      </c>
    </row>
    <row r="179" spans="1:24" ht="31.5">
      <c r="A179" s="207"/>
      <c r="B179" s="176" t="s">
        <v>357</v>
      </c>
      <c r="C179" s="152">
        <v>6.63</v>
      </c>
      <c r="D179" s="219">
        <f>D177/D178</f>
        <v>7.7365020576131691</v>
      </c>
      <c r="E179" s="143">
        <f t="shared" si="6"/>
        <v>1.1065020576131692</v>
      </c>
      <c r="F179" s="143">
        <f t="shared" si="7"/>
        <v>116.68932213594523</v>
      </c>
      <c r="G179" s="122" t="s">
        <v>400</v>
      </c>
    </row>
    <row r="180" spans="1:24" ht="63">
      <c r="A180" s="207"/>
      <c r="B180" s="176" t="s">
        <v>358</v>
      </c>
      <c r="C180" s="152">
        <v>50</v>
      </c>
      <c r="D180" s="117">
        <v>21</v>
      </c>
      <c r="E180" s="143">
        <f t="shared" si="6"/>
        <v>-29</v>
      </c>
      <c r="F180" s="143">
        <f t="shared" si="7"/>
        <v>42</v>
      </c>
      <c r="G180" s="122" t="s">
        <v>400</v>
      </c>
    </row>
    <row r="181" spans="1:24" ht="36.75" customHeight="1">
      <c r="A181" s="207" t="s">
        <v>343</v>
      </c>
      <c r="B181" s="999" t="s">
        <v>129</v>
      </c>
      <c r="C181" s="1000"/>
      <c r="D181" s="1000"/>
      <c r="E181" s="1000"/>
      <c r="F181" s="1000"/>
      <c r="G181" s="1001"/>
    </row>
    <row r="182" spans="1:24">
      <c r="A182" s="207"/>
      <c r="B182" s="176" t="s">
        <v>249</v>
      </c>
      <c r="C182" s="152">
        <v>225</v>
      </c>
      <c r="D182" s="117">
        <v>0</v>
      </c>
      <c r="E182" s="143">
        <f t="shared" si="6"/>
        <v>-225</v>
      </c>
      <c r="F182" s="143">
        <f t="shared" si="7"/>
        <v>0</v>
      </c>
      <c r="G182" s="122" t="s">
        <v>400</v>
      </c>
    </row>
    <row r="183" spans="1:24" ht="78.75">
      <c r="A183" s="207"/>
      <c r="B183" s="176" t="s">
        <v>359</v>
      </c>
      <c r="C183" s="152">
        <v>88</v>
      </c>
      <c r="D183" s="117">
        <v>0</v>
      </c>
      <c r="E183" s="143">
        <f t="shared" si="6"/>
        <v>-88</v>
      </c>
      <c r="F183" s="143">
        <f t="shared" si="7"/>
        <v>0</v>
      </c>
      <c r="G183" s="122" t="s">
        <v>400</v>
      </c>
    </row>
    <row r="184" spans="1:24" ht="31.5">
      <c r="A184" s="207"/>
      <c r="B184" s="176" t="s">
        <v>360</v>
      </c>
      <c r="C184" s="152">
        <v>2.56</v>
      </c>
      <c r="D184" s="117">
        <v>0</v>
      </c>
      <c r="E184" s="143">
        <f t="shared" si="6"/>
        <v>-2.56</v>
      </c>
      <c r="F184" s="143">
        <f t="shared" si="7"/>
        <v>0</v>
      </c>
      <c r="G184" s="122" t="s">
        <v>400</v>
      </c>
    </row>
    <row r="185" spans="1:24" ht="78.75">
      <c r="A185" s="207"/>
      <c r="B185" s="176" t="s">
        <v>361</v>
      </c>
      <c r="C185" s="152">
        <v>90</v>
      </c>
      <c r="D185" s="117">
        <v>0</v>
      </c>
      <c r="E185" s="143">
        <f t="shared" si="6"/>
        <v>-90</v>
      </c>
      <c r="F185" s="143">
        <f t="shared" si="7"/>
        <v>0</v>
      </c>
      <c r="G185" s="122" t="s">
        <v>400</v>
      </c>
    </row>
    <row r="186" spans="1:24">
      <c r="A186" s="221" t="s">
        <v>132</v>
      </c>
      <c r="B186" s="1002" t="s">
        <v>131</v>
      </c>
      <c r="C186" s="1003"/>
      <c r="D186" s="1003"/>
      <c r="E186" s="997"/>
      <c r="F186" s="997"/>
      <c r="G186" s="998"/>
    </row>
    <row r="187" spans="1:24" s="149" customFormat="1">
      <c r="A187" s="212" t="s">
        <v>135</v>
      </c>
      <c r="B187" s="999" t="s">
        <v>133</v>
      </c>
      <c r="C187" s="1000"/>
      <c r="D187" s="1000"/>
      <c r="E187" s="1000"/>
      <c r="F187" s="1000"/>
      <c r="G187" s="1001"/>
      <c r="H187" s="124"/>
      <c r="I187" s="124"/>
      <c r="J187" s="124"/>
      <c r="K187" s="124"/>
      <c r="L187" s="124"/>
      <c r="M187" s="124"/>
      <c r="N187" s="124"/>
      <c r="O187" s="124"/>
      <c r="P187" s="124"/>
      <c r="Q187" s="124"/>
      <c r="R187" s="124"/>
      <c r="S187" s="124"/>
      <c r="T187" s="124"/>
      <c r="U187" s="124"/>
      <c r="V187" s="124"/>
      <c r="W187" s="124"/>
      <c r="X187" s="124"/>
    </row>
    <row r="188" spans="1:24" s="149" customFormat="1">
      <c r="A188" s="212"/>
      <c r="B188" s="1000" t="s">
        <v>134</v>
      </c>
      <c r="C188" s="1000"/>
      <c r="D188" s="1000"/>
      <c r="E188" s="1000"/>
      <c r="F188" s="1000"/>
      <c r="G188" s="1001"/>
      <c r="H188" s="124"/>
      <c r="I188" s="124"/>
      <c r="J188" s="124"/>
      <c r="K188" s="124"/>
      <c r="L188" s="124"/>
      <c r="M188" s="124"/>
      <c r="N188" s="124"/>
      <c r="O188" s="124"/>
      <c r="P188" s="124"/>
      <c r="Q188" s="124"/>
      <c r="R188" s="124"/>
      <c r="S188" s="124"/>
      <c r="T188" s="124"/>
      <c r="U188" s="124"/>
      <c r="V188" s="124"/>
      <c r="W188" s="124"/>
      <c r="X188" s="124"/>
    </row>
    <row r="189" spans="1:24">
      <c r="A189" s="209"/>
      <c r="B189" s="113" t="s">
        <v>196</v>
      </c>
      <c r="C189" s="222">
        <v>93744</v>
      </c>
      <c r="D189" s="223">
        <v>35190.177199999998</v>
      </c>
      <c r="E189" s="222">
        <f>D189-C189</f>
        <v>-58553.822800000002</v>
      </c>
      <c r="F189" s="114">
        <f>D189/C189*100</f>
        <v>37.538591483188256</v>
      </c>
      <c r="G189" s="122" t="s">
        <v>400</v>
      </c>
    </row>
    <row r="190" spans="1:24" ht="31.5">
      <c r="A190" s="209"/>
      <c r="B190" s="113" t="s">
        <v>404</v>
      </c>
      <c r="C190" s="114">
        <v>12704</v>
      </c>
      <c r="D190" s="143">
        <v>7693</v>
      </c>
      <c r="E190" s="222">
        <f>D190-C190</f>
        <v>-5011</v>
      </c>
      <c r="F190" s="114">
        <f>D190/C190*100</f>
        <v>60.555730478589417</v>
      </c>
      <c r="G190" s="122" t="s">
        <v>405</v>
      </c>
    </row>
    <row r="191" spans="1:24" ht="31.5">
      <c r="A191" s="209"/>
      <c r="B191" s="113" t="s">
        <v>221</v>
      </c>
      <c r="C191" s="114">
        <v>5000</v>
      </c>
      <c r="D191" s="143">
        <v>1260</v>
      </c>
      <c r="E191" s="114">
        <f>D191-C191</f>
        <v>-3740</v>
      </c>
      <c r="F191" s="114">
        <f>D191/C191*100</f>
        <v>25.2</v>
      </c>
      <c r="G191" s="122" t="s">
        <v>405</v>
      </c>
    </row>
    <row r="192" spans="1:24" ht="31.5">
      <c r="A192" s="209"/>
      <c r="B192" s="113" t="s">
        <v>222</v>
      </c>
      <c r="C192" s="222">
        <v>18</v>
      </c>
      <c r="D192" s="223">
        <f>D189/D191</f>
        <v>27.92871206349206</v>
      </c>
      <c r="E192" s="222">
        <f>D192-C192</f>
        <v>9.9287120634920605</v>
      </c>
      <c r="F192" s="114">
        <f>D192/C192*100</f>
        <v>155.15951146384478</v>
      </c>
      <c r="G192" s="122" t="s">
        <v>400</v>
      </c>
    </row>
    <row r="193" spans="1:24" ht="78.75">
      <c r="A193" s="209"/>
      <c r="B193" s="113" t="s">
        <v>223</v>
      </c>
      <c r="C193" s="114">
        <v>84.1</v>
      </c>
      <c r="D193" s="143">
        <v>64.2</v>
      </c>
      <c r="E193" s="114">
        <f>D193-C193</f>
        <v>-19.899999999999991</v>
      </c>
      <c r="F193" s="114">
        <f>D193/C193*100</f>
        <v>76.337693222354346</v>
      </c>
      <c r="G193" s="122" t="s">
        <v>405</v>
      </c>
    </row>
    <row r="194" spans="1:24">
      <c r="A194" s="138"/>
      <c r="B194" s="1000" t="s">
        <v>137</v>
      </c>
      <c r="C194" s="1000"/>
      <c r="D194" s="1000"/>
      <c r="E194" s="1000"/>
      <c r="F194" s="1000"/>
      <c r="G194" s="1001"/>
    </row>
    <row r="195" spans="1:24" ht="31.5">
      <c r="A195" s="138"/>
      <c r="B195" s="113" t="s">
        <v>224</v>
      </c>
      <c r="C195" s="118">
        <v>6795</v>
      </c>
      <c r="D195" s="121">
        <v>1924</v>
      </c>
      <c r="E195" s="121">
        <f>D195-C195</f>
        <v>-4871</v>
      </c>
      <c r="F195" s="118">
        <f>D195/C195*100</f>
        <v>28.314937454010302</v>
      </c>
      <c r="G195" s="122" t="s">
        <v>400</v>
      </c>
    </row>
    <row r="196" spans="1:24" ht="47.25">
      <c r="A196" s="144"/>
      <c r="B196" s="113" t="s">
        <v>225</v>
      </c>
      <c r="C196" s="116">
        <v>45</v>
      </c>
      <c r="D196" s="117">
        <v>25</v>
      </c>
      <c r="E196" s="117">
        <f>D196-C196</f>
        <v>-20</v>
      </c>
      <c r="F196" s="114">
        <f>D196/C196*100</f>
        <v>55.555555555555557</v>
      </c>
      <c r="G196" s="122" t="s">
        <v>400</v>
      </c>
    </row>
    <row r="197" spans="1:24" ht="39.75" customHeight="1">
      <c r="A197" s="169" t="s">
        <v>362</v>
      </c>
      <c r="B197" s="999" t="s">
        <v>363</v>
      </c>
      <c r="C197" s="1000"/>
      <c r="D197" s="1000"/>
      <c r="E197" s="1000"/>
      <c r="F197" s="1000"/>
      <c r="G197" s="1001"/>
    </row>
    <row r="198" spans="1:24">
      <c r="A198" s="169"/>
      <c r="B198" s="151" t="s">
        <v>364</v>
      </c>
      <c r="C198" s="152">
        <v>350</v>
      </c>
      <c r="D198" s="117">
        <v>0</v>
      </c>
      <c r="E198" s="117">
        <f t="shared" ref="E198:E221" si="8">D198-C198</f>
        <v>-350</v>
      </c>
      <c r="F198" s="114">
        <f t="shared" ref="F198:F221" si="9">D198/C198*100</f>
        <v>0</v>
      </c>
      <c r="G198" s="122" t="s">
        <v>400</v>
      </c>
    </row>
    <row r="199" spans="1:24" ht="47.25">
      <c r="A199" s="169"/>
      <c r="B199" s="151" t="s">
        <v>365</v>
      </c>
      <c r="C199" s="224">
        <v>5</v>
      </c>
      <c r="D199" s="117">
        <v>0</v>
      </c>
      <c r="E199" s="117">
        <f t="shared" si="8"/>
        <v>-5</v>
      </c>
      <c r="F199" s="114">
        <f t="shared" si="9"/>
        <v>0</v>
      </c>
      <c r="G199" s="122" t="s">
        <v>400</v>
      </c>
    </row>
    <row r="200" spans="1:24" ht="47.25">
      <c r="A200" s="169"/>
      <c r="B200" s="151" t="s">
        <v>366</v>
      </c>
      <c r="C200" s="152">
        <v>0.06</v>
      </c>
      <c r="D200" s="117">
        <v>0</v>
      </c>
      <c r="E200" s="117">
        <f t="shared" si="8"/>
        <v>-0.06</v>
      </c>
      <c r="F200" s="114">
        <f t="shared" si="9"/>
        <v>0</v>
      </c>
      <c r="G200" s="122" t="s">
        <v>400</v>
      </c>
    </row>
    <row r="201" spans="1:24" s="149" customFormat="1" ht="21" customHeight="1">
      <c r="A201" s="225" t="s">
        <v>367</v>
      </c>
      <c r="B201" s="1007" t="s">
        <v>142</v>
      </c>
      <c r="C201" s="1008"/>
      <c r="D201" s="1008"/>
      <c r="E201" s="1008"/>
      <c r="F201" s="1008"/>
      <c r="G201" s="1009"/>
      <c r="H201" s="124"/>
      <c r="I201" s="124"/>
      <c r="J201" s="124"/>
      <c r="K201" s="124"/>
      <c r="L201" s="124"/>
      <c r="M201" s="124"/>
      <c r="N201" s="124"/>
      <c r="O201" s="124"/>
      <c r="P201" s="124"/>
      <c r="Q201" s="124"/>
      <c r="R201" s="124"/>
      <c r="S201" s="124"/>
      <c r="T201" s="124"/>
      <c r="U201" s="124"/>
      <c r="V201" s="124"/>
      <c r="W201" s="124"/>
      <c r="X201" s="124"/>
    </row>
    <row r="202" spans="1:24" s="198" customFormat="1">
      <c r="A202" s="226" t="s">
        <v>376</v>
      </c>
      <c r="B202" s="999" t="s">
        <v>144</v>
      </c>
      <c r="C202" s="1000"/>
      <c r="D202" s="1000"/>
      <c r="E202" s="1000"/>
      <c r="F202" s="1000"/>
      <c r="G202" s="1001"/>
      <c r="H202" s="124"/>
      <c r="I202" s="124"/>
      <c r="J202" s="124"/>
      <c r="K202" s="124"/>
      <c r="L202" s="124"/>
      <c r="M202" s="124"/>
      <c r="N202" s="124"/>
      <c r="O202" s="124"/>
      <c r="P202" s="124"/>
      <c r="Q202" s="124"/>
      <c r="R202" s="124"/>
      <c r="S202" s="124"/>
      <c r="T202" s="124"/>
      <c r="U202" s="124"/>
      <c r="V202" s="124"/>
      <c r="W202" s="124"/>
      <c r="X202" s="124"/>
    </row>
    <row r="203" spans="1:24" s="115" customFormat="1" ht="78.75">
      <c r="A203" s="169"/>
      <c r="B203" s="180" t="s">
        <v>249</v>
      </c>
      <c r="C203" s="163">
        <v>270</v>
      </c>
      <c r="D203" s="120">
        <v>0</v>
      </c>
      <c r="E203" s="120">
        <f t="shared" si="8"/>
        <v>-270</v>
      </c>
      <c r="F203" s="118">
        <f t="shared" si="9"/>
        <v>0</v>
      </c>
      <c r="G203" s="122" t="s">
        <v>398</v>
      </c>
      <c r="H203" s="124"/>
      <c r="I203" s="124"/>
      <c r="J203" s="124"/>
      <c r="K203" s="124"/>
      <c r="L203" s="124"/>
      <c r="M203" s="124"/>
      <c r="N203" s="124"/>
      <c r="O203" s="124"/>
      <c r="P203" s="124"/>
      <c r="Q203" s="124"/>
      <c r="R203" s="124"/>
      <c r="S203" s="124"/>
      <c r="T203" s="124"/>
      <c r="U203" s="124"/>
      <c r="V203" s="124"/>
      <c r="W203" s="124"/>
      <c r="X203" s="124"/>
    </row>
    <row r="204" spans="1:24" s="115" customFormat="1">
      <c r="A204" s="169"/>
      <c r="B204" s="227" t="s">
        <v>249</v>
      </c>
      <c r="C204" s="163">
        <v>135</v>
      </c>
      <c r="D204" s="120">
        <v>0</v>
      </c>
      <c r="E204" s="120">
        <f t="shared" si="8"/>
        <v>-135</v>
      </c>
      <c r="F204" s="118">
        <f t="shared" si="9"/>
        <v>0</v>
      </c>
      <c r="G204" s="122" t="s">
        <v>400</v>
      </c>
      <c r="H204" s="124"/>
      <c r="I204" s="124"/>
      <c r="J204" s="124"/>
      <c r="K204" s="124"/>
      <c r="L204" s="124"/>
      <c r="M204" s="124"/>
      <c r="N204" s="124"/>
      <c r="O204" s="124"/>
      <c r="P204" s="124"/>
      <c r="Q204" s="124"/>
      <c r="R204" s="124"/>
      <c r="S204" s="124"/>
      <c r="T204" s="124"/>
      <c r="U204" s="124"/>
      <c r="V204" s="124"/>
      <c r="W204" s="124"/>
      <c r="X204" s="124"/>
    </row>
    <row r="205" spans="1:24" s="115" customFormat="1" ht="48" customHeight="1">
      <c r="A205" s="169"/>
      <c r="B205" s="180" t="s">
        <v>368</v>
      </c>
      <c r="C205" s="152">
        <v>35</v>
      </c>
      <c r="D205" s="117">
        <v>0</v>
      </c>
      <c r="E205" s="117">
        <f t="shared" si="8"/>
        <v>-35</v>
      </c>
      <c r="F205" s="114">
        <f t="shared" si="9"/>
        <v>0</v>
      </c>
      <c r="G205" s="122" t="s">
        <v>400</v>
      </c>
      <c r="H205" s="124"/>
      <c r="I205" s="124"/>
      <c r="J205" s="124"/>
      <c r="K205" s="124"/>
      <c r="L205" s="124"/>
      <c r="M205" s="124"/>
      <c r="N205" s="124"/>
      <c r="O205" s="124"/>
      <c r="P205" s="124"/>
      <c r="Q205" s="124"/>
      <c r="R205" s="124"/>
      <c r="S205" s="124"/>
      <c r="T205" s="124"/>
      <c r="U205" s="124"/>
      <c r="V205" s="124"/>
      <c r="W205" s="124"/>
      <c r="X205" s="124"/>
    </row>
    <row r="206" spans="1:24" s="115" customFormat="1" ht="47.25">
      <c r="A206" s="169"/>
      <c r="B206" s="180" t="s">
        <v>369</v>
      </c>
      <c r="C206" s="152">
        <v>11.57</v>
      </c>
      <c r="D206" s="117">
        <v>0</v>
      </c>
      <c r="E206" s="117">
        <f t="shared" si="8"/>
        <v>-11.57</v>
      </c>
      <c r="F206" s="114">
        <f t="shared" si="9"/>
        <v>0</v>
      </c>
      <c r="G206" s="122" t="s">
        <v>400</v>
      </c>
      <c r="H206" s="124"/>
      <c r="I206" s="124"/>
      <c r="J206" s="124"/>
      <c r="K206" s="124"/>
      <c r="L206" s="124"/>
      <c r="M206" s="124"/>
      <c r="N206" s="124"/>
      <c r="O206" s="124"/>
      <c r="P206" s="124"/>
      <c r="Q206" s="124"/>
      <c r="R206" s="124"/>
      <c r="S206" s="124"/>
      <c r="T206" s="124"/>
      <c r="U206" s="124"/>
      <c r="V206" s="124"/>
      <c r="W206" s="124"/>
      <c r="X206" s="124"/>
    </row>
    <row r="207" spans="1:24" s="115" customFormat="1" ht="31.5">
      <c r="A207" s="169"/>
      <c r="B207" s="228" t="s">
        <v>245</v>
      </c>
      <c r="C207" s="152">
        <v>7.71</v>
      </c>
      <c r="D207" s="117">
        <v>0</v>
      </c>
      <c r="E207" s="117">
        <f t="shared" si="8"/>
        <v>-7.71</v>
      </c>
      <c r="F207" s="114">
        <f t="shared" si="9"/>
        <v>0</v>
      </c>
      <c r="G207" s="122" t="s">
        <v>400</v>
      </c>
      <c r="H207" s="124"/>
      <c r="I207" s="124"/>
      <c r="J207" s="124"/>
      <c r="K207" s="124"/>
      <c r="L207" s="124"/>
      <c r="M207" s="124"/>
      <c r="N207" s="124"/>
      <c r="O207" s="124"/>
      <c r="P207" s="124"/>
      <c r="Q207" s="124"/>
      <c r="R207" s="124"/>
      <c r="S207" s="124"/>
      <c r="T207" s="124"/>
      <c r="U207" s="124"/>
      <c r="V207" s="124"/>
      <c r="W207" s="124"/>
      <c r="X207" s="124"/>
    </row>
    <row r="208" spans="1:24" s="115" customFormat="1" ht="63">
      <c r="A208" s="169"/>
      <c r="B208" s="180" t="s">
        <v>370</v>
      </c>
      <c r="C208" s="152">
        <v>90</v>
      </c>
      <c r="D208" s="117">
        <v>0</v>
      </c>
      <c r="E208" s="117">
        <f t="shared" si="8"/>
        <v>-90</v>
      </c>
      <c r="F208" s="114">
        <f t="shared" si="9"/>
        <v>0</v>
      </c>
      <c r="G208" s="122" t="s">
        <v>400</v>
      </c>
      <c r="H208" s="124"/>
      <c r="I208" s="124"/>
      <c r="J208" s="124"/>
      <c r="K208" s="124"/>
      <c r="L208" s="124"/>
      <c r="M208" s="124"/>
      <c r="N208" s="124"/>
      <c r="O208" s="124"/>
      <c r="P208" s="124"/>
      <c r="Q208" s="124"/>
      <c r="R208" s="124"/>
      <c r="S208" s="124"/>
      <c r="T208" s="124"/>
      <c r="U208" s="124"/>
      <c r="V208" s="124"/>
      <c r="W208" s="124"/>
      <c r="X208" s="124"/>
    </row>
    <row r="209" spans="1:24" s="115" customFormat="1" ht="17.25" customHeight="1">
      <c r="A209" s="159" t="s">
        <v>377</v>
      </c>
      <c r="B209" s="1010" t="s">
        <v>145</v>
      </c>
      <c r="C209" s="1011"/>
      <c r="D209" s="1011"/>
      <c r="E209" s="1011"/>
      <c r="F209" s="1011"/>
      <c r="G209" s="1012"/>
      <c r="H209" s="124"/>
      <c r="I209" s="124"/>
      <c r="J209" s="124"/>
      <c r="K209" s="124"/>
      <c r="L209" s="124"/>
      <c r="M209" s="124"/>
      <c r="N209" s="124"/>
      <c r="O209" s="124"/>
      <c r="P209" s="124"/>
      <c r="Q209" s="124"/>
      <c r="R209" s="124"/>
      <c r="S209" s="124"/>
      <c r="T209" s="124"/>
      <c r="U209" s="124"/>
      <c r="V209" s="124"/>
      <c r="W209" s="124"/>
      <c r="X209" s="124"/>
    </row>
    <row r="210" spans="1:24" s="115" customFormat="1" ht="78.75">
      <c r="A210" s="169"/>
      <c r="B210" s="176" t="s">
        <v>249</v>
      </c>
      <c r="C210" s="152">
        <v>225</v>
      </c>
      <c r="D210" s="117">
        <v>0</v>
      </c>
      <c r="E210" s="117">
        <f t="shared" si="8"/>
        <v>-225</v>
      </c>
      <c r="F210" s="114">
        <f t="shared" si="9"/>
        <v>0</v>
      </c>
      <c r="G210" s="122" t="s">
        <v>398</v>
      </c>
      <c r="H210" s="124"/>
      <c r="I210" s="124"/>
      <c r="J210" s="124"/>
      <c r="K210" s="124"/>
      <c r="L210" s="124"/>
      <c r="M210" s="124"/>
      <c r="N210" s="124"/>
      <c r="O210" s="124"/>
      <c r="P210" s="124"/>
      <c r="Q210" s="124"/>
      <c r="R210" s="124"/>
      <c r="S210" s="124"/>
      <c r="T210" s="124"/>
      <c r="U210" s="124"/>
      <c r="V210" s="124"/>
      <c r="W210" s="124"/>
      <c r="X210" s="124"/>
    </row>
    <row r="211" spans="1:24" s="229" customFormat="1">
      <c r="A211" s="169"/>
      <c r="B211" s="176" t="s">
        <v>249</v>
      </c>
      <c r="C211" s="152">
        <v>178.75</v>
      </c>
      <c r="D211" s="117">
        <v>0</v>
      </c>
      <c r="E211" s="117">
        <f t="shared" si="8"/>
        <v>-178.75</v>
      </c>
      <c r="F211" s="114">
        <f t="shared" si="9"/>
        <v>0</v>
      </c>
      <c r="G211" s="122" t="s">
        <v>400</v>
      </c>
      <c r="H211" s="124"/>
      <c r="I211" s="124"/>
      <c r="J211" s="124"/>
      <c r="K211" s="124"/>
      <c r="L211" s="124"/>
      <c r="M211" s="124"/>
      <c r="N211" s="124"/>
      <c r="O211" s="124"/>
      <c r="P211" s="124"/>
      <c r="Q211" s="124"/>
      <c r="R211" s="124"/>
      <c r="S211" s="124"/>
      <c r="T211" s="124"/>
      <c r="U211" s="124"/>
      <c r="V211" s="124"/>
      <c r="W211" s="124"/>
      <c r="X211" s="124"/>
    </row>
    <row r="212" spans="1:24" s="229" customFormat="1" ht="71.25" customHeight="1">
      <c r="A212" s="169"/>
      <c r="B212" s="176" t="s">
        <v>371</v>
      </c>
      <c r="C212" s="152">
        <v>30</v>
      </c>
      <c r="D212" s="117">
        <v>0</v>
      </c>
      <c r="E212" s="117">
        <f t="shared" si="8"/>
        <v>-30</v>
      </c>
      <c r="F212" s="114">
        <f t="shared" si="9"/>
        <v>0</v>
      </c>
      <c r="G212" s="122" t="s">
        <v>400</v>
      </c>
      <c r="H212" s="124"/>
      <c r="I212" s="124"/>
      <c r="J212" s="124"/>
      <c r="K212" s="124"/>
      <c r="L212" s="124"/>
      <c r="M212" s="124"/>
      <c r="N212" s="124"/>
      <c r="O212" s="124"/>
      <c r="P212" s="124"/>
      <c r="Q212" s="124"/>
      <c r="R212" s="124"/>
      <c r="S212" s="124"/>
      <c r="T212" s="124"/>
      <c r="U212" s="124"/>
      <c r="V212" s="124"/>
      <c r="W212" s="124"/>
      <c r="X212" s="124"/>
    </row>
    <row r="213" spans="1:24" s="229" customFormat="1" ht="63">
      <c r="A213" s="169"/>
      <c r="B213" s="176" t="s">
        <v>372</v>
      </c>
      <c r="C213" s="155">
        <v>13.46</v>
      </c>
      <c r="D213" s="117">
        <v>0</v>
      </c>
      <c r="E213" s="117">
        <f t="shared" si="8"/>
        <v>-13.46</v>
      </c>
      <c r="F213" s="114">
        <f t="shared" si="9"/>
        <v>0</v>
      </c>
      <c r="G213" s="122" t="s">
        <v>400</v>
      </c>
      <c r="H213" s="124"/>
      <c r="I213" s="124"/>
      <c r="J213" s="124"/>
      <c r="K213" s="124"/>
      <c r="L213" s="124"/>
      <c r="M213" s="124"/>
      <c r="N213" s="124"/>
      <c r="O213" s="124"/>
      <c r="P213" s="124"/>
      <c r="Q213" s="124"/>
      <c r="R213" s="124"/>
      <c r="S213" s="124"/>
      <c r="T213" s="124"/>
      <c r="U213" s="124"/>
      <c r="V213" s="124"/>
      <c r="W213" s="124"/>
      <c r="X213" s="124"/>
    </row>
    <row r="214" spans="1:24" s="229" customFormat="1" ht="31.5">
      <c r="A214" s="159"/>
      <c r="B214" s="230" t="s">
        <v>245</v>
      </c>
      <c r="C214" s="179">
        <v>7.5</v>
      </c>
      <c r="D214" s="119">
        <v>0</v>
      </c>
      <c r="E214" s="117">
        <f t="shared" si="8"/>
        <v>-7.5</v>
      </c>
      <c r="F214" s="114">
        <f t="shared" si="9"/>
        <v>0</v>
      </c>
      <c r="G214" s="122" t="s">
        <v>400</v>
      </c>
      <c r="H214" s="124"/>
      <c r="I214" s="124"/>
      <c r="J214" s="124"/>
      <c r="K214" s="124"/>
      <c r="L214" s="124"/>
      <c r="M214" s="124"/>
      <c r="N214" s="124"/>
      <c r="O214" s="124"/>
      <c r="P214" s="124"/>
      <c r="Q214" s="124"/>
      <c r="R214" s="124"/>
      <c r="S214" s="124"/>
      <c r="T214" s="124"/>
      <c r="U214" s="124"/>
      <c r="V214" s="124"/>
      <c r="W214" s="124"/>
      <c r="X214" s="124"/>
    </row>
    <row r="215" spans="1:24" s="115" customFormat="1" ht="20.25" customHeight="1">
      <c r="A215" s="169" t="s">
        <v>378</v>
      </c>
      <c r="B215" s="1029" t="s">
        <v>146</v>
      </c>
      <c r="C215" s="1030"/>
      <c r="D215" s="1030"/>
      <c r="E215" s="1030"/>
      <c r="F215" s="1030"/>
      <c r="G215" s="1031"/>
      <c r="H215" s="124"/>
      <c r="I215" s="124"/>
      <c r="J215" s="124"/>
      <c r="K215" s="124"/>
      <c r="L215" s="124"/>
      <c r="M215" s="124"/>
      <c r="N215" s="124"/>
      <c r="O215" s="124"/>
      <c r="P215" s="124"/>
      <c r="Q215" s="124"/>
      <c r="R215" s="124"/>
      <c r="S215" s="124"/>
      <c r="T215" s="124"/>
      <c r="U215" s="124"/>
      <c r="V215" s="124"/>
      <c r="W215" s="124"/>
      <c r="X215" s="124"/>
    </row>
    <row r="216" spans="1:24" s="115" customFormat="1" ht="78.75">
      <c r="A216" s="169"/>
      <c r="B216" s="176" t="s">
        <v>364</v>
      </c>
      <c r="C216" s="152">
        <v>180</v>
      </c>
      <c r="D216" s="117">
        <v>0</v>
      </c>
      <c r="E216" s="117">
        <f t="shared" si="8"/>
        <v>-180</v>
      </c>
      <c r="F216" s="114">
        <f t="shared" si="9"/>
        <v>0</v>
      </c>
      <c r="G216" s="122" t="s">
        <v>398</v>
      </c>
      <c r="H216" s="124"/>
      <c r="I216" s="124"/>
      <c r="J216" s="124"/>
      <c r="K216" s="124"/>
      <c r="L216" s="124"/>
      <c r="M216" s="124"/>
      <c r="N216" s="124"/>
      <c r="O216" s="124"/>
      <c r="P216" s="124"/>
      <c r="Q216" s="124"/>
      <c r="R216" s="124"/>
      <c r="S216" s="124"/>
      <c r="T216" s="124"/>
      <c r="U216" s="124"/>
      <c r="V216" s="124"/>
      <c r="W216" s="124"/>
      <c r="X216" s="124"/>
    </row>
    <row r="217" spans="1:24" s="115" customFormat="1">
      <c r="A217" s="169"/>
      <c r="B217" s="176" t="s">
        <v>266</v>
      </c>
      <c r="C217" s="152">
        <v>90</v>
      </c>
      <c r="D217" s="117">
        <v>0</v>
      </c>
      <c r="E217" s="117">
        <f t="shared" si="8"/>
        <v>-90</v>
      </c>
      <c r="F217" s="114">
        <f t="shared" si="9"/>
        <v>0</v>
      </c>
      <c r="G217" s="122" t="s">
        <v>400</v>
      </c>
      <c r="H217" s="124"/>
      <c r="I217" s="124"/>
      <c r="J217" s="124"/>
      <c r="K217" s="124"/>
      <c r="L217" s="124"/>
      <c r="M217" s="124"/>
      <c r="N217" s="124"/>
      <c r="O217" s="124"/>
      <c r="P217" s="124"/>
      <c r="Q217" s="124"/>
      <c r="R217" s="124"/>
      <c r="S217" s="124"/>
      <c r="T217" s="124"/>
      <c r="U217" s="124"/>
      <c r="V217" s="124"/>
      <c r="W217" s="124"/>
      <c r="X217" s="124"/>
    </row>
    <row r="218" spans="1:24" s="115" customFormat="1" ht="56.25" customHeight="1">
      <c r="A218" s="169"/>
      <c r="B218" s="176" t="s">
        <v>373</v>
      </c>
      <c r="C218" s="152">
        <v>23</v>
      </c>
      <c r="D218" s="117">
        <v>0</v>
      </c>
      <c r="E218" s="117">
        <f t="shared" si="8"/>
        <v>-23</v>
      </c>
      <c r="F218" s="114">
        <f t="shared" si="9"/>
        <v>0</v>
      </c>
      <c r="G218" s="122" t="s">
        <v>400</v>
      </c>
      <c r="H218" s="124"/>
      <c r="I218" s="124"/>
      <c r="J218" s="124"/>
      <c r="K218" s="124"/>
      <c r="L218" s="124"/>
      <c r="M218" s="124"/>
      <c r="N218" s="124"/>
      <c r="O218" s="124"/>
      <c r="P218" s="124"/>
      <c r="Q218" s="124"/>
      <c r="R218" s="124"/>
      <c r="S218" s="124"/>
      <c r="T218" s="124"/>
      <c r="U218" s="124"/>
      <c r="V218" s="124"/>
      <c r="W218" s="124"/>
      <c r="X218" s="124"/>
    </row>
    <row r="219" spans="1:24" s="115" customFormat="1" ht="64.5" customHeight="1">
      <c r="A219" s="169"/>
      <c r="B219" s="176" t="s">
        <v>375</v>
      </c>
      <c r="C219" s="152">
        <v>11.74</v>
      </c>
      <c r="D219" s="117">
        <v>0</v>
      </c>
      <c r="E219" s="117">
        <f t="shared" si="8"/>
        <v>-11.74</v>
      </c>
      <c r="F219" s="114">
        <f t="shared" si="9"/>
        <v>0</v>
      </c>
      <c r="G219" s="122" t="s">
        <v>400</v>
      </c>
      <c r="H219" s="124"/>
      <c r="I219" s="124"/>
      <c r="J219" s="124"/>
      <c r="K219" s="124"/>
      <c r="L219" s="124"/>
      <c r="M219" s="124"/>
      <c r="N219" s="124"/>
      <c r="O219" s="124"/>
      <c r="P219" s="124"/>
      <c r="Q219" s="124"/>
      <c r="R219" s="124"/>
      <c r="S219" s="124"/>
      <c r="T219" s="124"/>
      <c r="U219" s="124"/>
      <c r="V219" s="124"/>
      <c r="W219" s="124"/>
      <c r="X219" s="124"/>
    </row>
    <row r="220" spans="1:24" s="115" customFormat="1" ht="31.5">
      <c r="A220" s="169"/>
      <c r="B220" s="220" t="s">
        <v>245</v>
      </c>
      <c r="C220" s="155">
        <v>7.83</v>
      </c>
      <c r="D220" s="117">
        <v>0</v>
      </c>
      <c r="E220" s="117">
        <f t="shared" si="8"/>
        <v>-7.83</v>
      </c>
      <c r="F220" s="114">
        <f t="shared" si="9"/>
        <v>0</v>
      </c>
      <c r="G220" s="122" t="s">
        <v>400</v>
      </c>
      <c r="H220" s="124"/>
      <c r="I220" s="124"/>
      <c r="J220" s="124"/>
      <c r="K220" s="124"/>
      <c r="L220" s="124"/>
      <c r="M220" s="124"/>
      <c r="N220" s="124"/>
      <c r="O220" s="124"/>
      <c r="P220" s="124"/>
      <c r="Q220" s="124"/>
      <c r="R220" s="124"/>
      <c r="S220" s="124"/>
      <c r="T220" s="124"/>
      <c r="U220" s="124"/>
      <c r="V220" s="124"/>
      <c r="W220" s="124"/>
      <c r="X220" s="124"/>
    </row>
    <row r="221" spans="1:24" s="115" customFormat="1" ht="47.25">
      <c r="A221" s="169"/>
      <c r="B221" s="176" t="s">
        <v>374</v>
      </c>
      <c r="C221" s="152">
        <v>60</v>
      </c>
      <c r="D221" s="117">
        <v>0</v>
      </c>
      <c r="E221" s="117">
        <f t="shared" si="8"/>
        <v>-60</v>
      </c>
      <c r="F221" s="114">
        <f t="shared" si="9"/>
        <v>0</v>
      </c>
      <c r="G221" s="122" t="s">
        <v>400</v>
      </c>
      <c r="H221" s="124"/>
      <c r="I221" s="124"/>
      <c r="J221" s="124"/>
      <c r="K221" s="124"/>
      <c r="L221" s="124"/>
      <c r="M221" s="124"/>
      <c r="N221" s="124"/>
      <c r="O221" s="124"/>
      <c r="P221" s="124"/>
      <c r="Q221" s="124"/>
      <c r="R221" s="124"/>
      <c r="S221" s="124"/>
      <c r="T221" s="124"/>
      <c r="U221" s="124"/>
      <c r="V221" s="124"/>
      <c r="W221" s="124"/>
      <c r="X221" s="124"/>
    </row>
    <row r="222" spans="1:24" s="149" customFormat="1">
      <c r="A222" s="208" t="s">
        <v>148</v>
      </c>
      <c r="B222" s="1004" t="s">
        <v>147</v>
      </c>
      <c r="C222" s="1005"/>
      <c r="D222" s="1005"/>
      <c r="E222" s="1005"/>
      <c r="F222" s="1005"/>
      <c r="G222" s="1006"/>
      <c r="H222" s="124"/>
      <c r="I222" s="124"/>
      <c r="J222" s="124"/>
      <c r="K222" s="124"/>
      <c r="L222" s="124"/>
      <c r="M222" s="124"/>
      <c r="N222" s="124"/>
      <c r="O222" s="124"/>
      <c r="P222" s="124"/>
      <c r="Q222" s="124"/>
      <c r="R222" s="124"/>
      <c r="S222" s="124"/>
      <c r="T222" s="124"/>
      <c r="U222" s="124"/>
      <c r="V222" s="124"/>
      <c r="W222" s="124"/>
      <c r="X222" s="124"/>
    </row>
    <row r="223" spans="1:24" ht="63">
      <c r="A223" s="213"/>
      <c r="B223" s="113" t="s">
        <v>226</v>
      </c>
      <c r="C223" s="116">
        <v>35</v>
      </c>
      <c r="D223" s="117">
        <v>39</v>
      </c>
      <c r="E223" s="116">
        <f>D223-C223</f>
        <v>4</v>
      </c>
      <c r="F223" s="114">
        <f>D223/C223*100</f>
        <v>111.42857142857143</v>
      </c>
      <c r="G223" s="122" t="s">
        <v>400</v>
      </c>
    </row>
    <row r="224" spans="1:24" ht="78.75">
      <c r="A224" s="210"/>
      <c r="B224" s="113" t="s">
        <v>227</v>
      </c>
      <c r="C224" s="116">
        <v>90</v>
      </c>
      <c r="D224" s="117">
        <v>95</v>
      </c>
      <c r="E224" s="116">
        <f>D224-C224</f>
        <v>5</v>
      </c>
      <c r="F224" s="114">
        <f>D224/C224*100</f>
        <v>105.55555555555556</v>
      </c>
      <c r="G224" s="122" t="s">
        <v>400</v>
      </c>
    </row>
    <row r="225" spans="1:24">
      <c r="A225" s="208" t="s">
        <v>150</v>
      </c>
      <c r="B225" s="999" t="s">
        <v>149</v>
      </c>
      <c r="C225" s="1000"/>
      <c r="D225" s="1000"/>
      <c r="E225" s="1000"/>
      <c r="F225" s="1000"/>
      <c r="G225" s="1001"/>
    </row>
    <row r="226" spans="1:24" ht="47.25">
      <c r="A226" s="213"/>
      <c r="B226" s="113" t="s">
        <v>246</v>
      </c>
      <c r="C226" s="116">
        <v>88</v>
      </c>
      <c r="D226" s="117">
        <v>6</v>
      </c>
      <c r="E226" s="116">
        <f>D226-C226</f>
        <v>-82</v>
      </c>
      <c r="F226" s="114">
        <f>D226/C226*100</f>
        <v>6.8181818181818175</v>
      </c>
      <c r="G226" s="122" t="s">
        <v>400</v>
      </c>
    </row>
    <row r="227" spans="1:24" ht="34.5" customHeight="1">
      <c r="A227" s="210"/>
      <c r="B227" s="113" t="s">
        <v>228</v>
      </c>
      <c r="C227" s="116">
        <v>100</v>
      </c>
      <c r="D227" s="117">
        <v>33</v>
      </c>
      <c r="E227" s="116">
        <f>D227-C227</f>
        <v>-67</v>
      </c>
      <c r="F227" s="114">
        <f>D227/C227*100</f>
        <v>33</v>
      </c>
      <c r="G227" s="122" t="s">
        <v>400</v>
      </c>
    </row>
    <row r="228" spans="1:24">
      <c r="A228" s="209" t="s">
        <v>152</v>
      </c>
      <c r="B228" s="999" t="s">
        <v>151</v>
      </c>
      <c r="C228" s="1000"/>
      <c r="D228" s="1000"/>
      <c r="E228" s="1000"/>
      <c r="F228" s="1000"/>
      <c r="G228" s="1001"/>
    </row>
    <row r="229" spans="1:24">
      <c r="A229" s="213"/>
      <c r="B229" s="113" t="s">
        <v>196</v>
      </c>
      <c r="C229" s="214">
        <v>4341</v>
      </c>
      <c r="D229" s="215">
        <v>3271.79</v>
      </c>
      <c r="E229" s="231">
        <f>D229-C229</f>
        <v>-1069.21</v>
      </c>
      <c r="F229" s="118">
        <f>D229/C229*100</f>
        <v>75.369500115180827</v>
      </c>
      <c r="G229" s="122" t="s">
        <v>400</v>
      </c>
    </row>
    <row r="230" spans="1:24" ht="31.5">
      <c r="A230" s="209"/>
      <c r="B230" s="113" t="s">
        <v>229</v>
      </c>
      <c r="C230" s="118">
        <v>6040</v>
      </c>
      <c r="D230" s="121">
        <v>6781</v>
      </c>
      <c r="E230" s="118">
        <f>D230-C230</f>
        <v>741</v>
      </c>
      <c r="F230" s="118">
        <f>D230/C230*100</f>
        <v>112.26821192052981</v>
      </c>
      <c r="G230" s="122" t="s">
        <v>400</v>
      </c>
    </row>
    <row r="231" spans="1:24" ht="47.25">
      <c r="A231" s="209"/>
      <c r="B231" s="113" t="s">
        <v>230</v>
      </c>
      <c r="C231" s="231">
        <v>0.72</v>
      </c>
      <c r="D231" s="215">
        <f>D229/D230</f>
        <v>0.48249373248783367</v>
      </c>
      <c r="E231" s="231">
        <f>D231-C231</f>
        <v>-0.2375062675121663</v>
      </c>
      <c r="F231" s="118">
        <f>D231/C231*100</f>
        <v>67.013018401088004</v>
      </c>
      <c r="G231" s="122" t="s">
        <v>400</v>
      </c>
    </row>
    <row r="232" spans="1:24" ht="63">
      <c r="A232" s="210"/>
      <c r="B232" s="113" t="s">
        <v>231</v>
      </c>
      <c r="C232" s="232">
        <v>40</v>
      </c>
      <c r="D232" s="120">
        <v>56.6</v>
      </c>
      <c r="E232" s="232">
        <f>D232-C232</f>
        <v>16.600000000000001</v>
      </c>
      <c r="F232" s="118">
        <f>D232/C232*100</f>
        <v>141.5</v>
      </c>
      <c r="G232" s="122" t="s">
        <v>400</v>
      </c>
    </row>
    <row r="233" spans="1:24" s="198" customFormat="1" ht="21.75" customHeight="1">
      <c r="A233" s="233" t="s">
        <v>379</v>
      </c>
      <c r="B233" s="999" t="s">
        <v>154</v>
      </c>
      <c r="C233" s="1000"/>
      <c r="D233" s="1000"/>
      <c r="E233" s="1000"/>
      <c r="F233" s="1000"/>
      <c r="G233" s="1001"/>
      <c r="H233" s="234"/>
      <c r="I233" s="124"/>
      <c r="J233" s="124"/>
      <c r="K233" s="124"/>
      <c r="L233" s="124"/>
      <c r="M233" s="124"/>
      <c r="N233" s="234"/>
      <c r="O233" s="234"/>
      <c r="P233" s="234"/>
      <c r="Q233" s="234"/>
      <c r="R233" s="234"/>
      <c r="S233" s="234"/>
      <c r="T233" s="234"/>
      <c r="U233" s="234"/>
      <c r="V233" s="234"/>
      <c r="W233" s="234"/>
      <c r="X233" s="234"/>
    </row>
    <row r="234" spans="1:24" s="198" customFormat="1" ht="20.25" customHeight="1">
      <c r="A234" s="235" t="s">
        <v>380</v>
      </c>
      <c r="B234" s="999" t="s">
        <v>156</v>
      </c>
      <c r="C234" s="1000"/>
      <c r="D234" s="1000"/>
      <c r="E234" s="1000"/>
      <c r="F234" s="1000"/>
      <c r="G234" s="1001"/>
      <c r="H234" s="234"/>
      <c r="I234" s="124"/>
      <c r="J234" s="124"/>
      <c r="K234" s="124"/>
      <c r="L234" s="124"/>
      <c r="M234" s="124"/>
      <c r="N234" s="234"/>
      <c r="O234" s="234"/>
      <c r="P234" s="234"/>
      <c r="Q234" s="234"/>
      <c r="R234" s="234"/>
      <c r="S234" s="234"/>
      <c r="T234" s="234"/>
      <c r="U234" s="234"/>
      <c r="V234" s="234"/>
      <c r="W234" s="234"/>
      <c r="X234" s="234"/>
    </row>
    <row r="235" spans="1:24" ht="78.75">
      <c r="A235" s="207"/>
      <c r="B235" s="176" t="s">
        <v>266</v>
      </c>
      <c r="C235" s="152">
        <v>21422.09</v>
      </c>
      <c r="D235" s="117">
        <v>5077.74</v>
      </c>
      <c r="E235" s="116">
        <f>D235-C235</f>
        <v>-16344.35</v>
      </c>
      <c r="F235" s="114">
        <f>D235/C235*100</f>
        <v>23.703289454950475</v>
      </c>
      <c r="G235" s="122" t="s">
        <v>399</v>
      </c>
    </row>
    <row r="236" spans="1:24" ht="47.25">
      <c r="A236" s="207"/>
      <c r="B236" s="151" t="s">
        <v>381</v>
      </c>
      <c r="C236" s="152">
        <v>10084</v>
      </c>
      <c r="D236" s="117">
        <v>6131</v>
      </c>
      <c r="E236" s="116">
        <f>D236-C236</f>
        <v>-3953</v>
      </c>
      <c r="F236" s="114">
        <f>D236/C236*100</f>
        <v>60.79928599761999</v>
      </c>
      <c r="G236" s="122" t="s">
        <v>400</v>
      </c>
    </row>
    <row r="237" spans="1:24" ht="47.25">
      <c r="A237" s="207"/>
      <c r="B237" s="151" t="s">
        <v>382</v>
      </c>
      <c r="C237" s="174">
        <f>C235/C236</f>
        <v>2.1243643395477987</v>
      </c>
      <c r="D237" s="174">
        <f>D235/D236</f>
        <v>0.82820747023324082</v>
      </c>
      <c r="E237" s="145">
        <f>D237-C237</f>
        <v>-1.296156869314558</v>
      </c>
      <c r="F237" s="114">
        <f>D237/C237*100</f>
        <v>38.986131277723132</v>
      </c>
      <c r="G237" s="122" t="s">
        <v>400</v>
      </c>
    </row>
    <row r="238" spans="1:24" ht="63">
      <c r="A238" s="207"/>
      <c r="B238" s="151" t="s">
        <v>383</v>
      </c>
      <c r="C238" s="152">
        <v>100</v>
      </c>
      <c r="D238" s="117"/>
      <c r="E238" s="116">
        <f>D238-C238</f>
        <v>-100</v>
      </c>
      <c r="F238" s="114">
        <f>D238/C238*100</f>
        <v>0</v>
      </c>
      <c r="G238" s="122" t="s">
        <v>400</v>
      </c>
    </row>
    <row r="239" spans="1:24">
      <c r="A239" s="208" t="s">
        <v>159</v>
      </c>
      <c r="B239" s="1004" t="s">
        <v>158</v>
      </c>
      <c r="C239" s="1005"/>
      <c r="D239" s="1005"/>
      <c r="E239" s="1005"/>
      <c r="F239" s="1005"/>
      <c r="G239" s="1006"/>
    </row>
    <row r="240" spans="1:24" ht="78.75">
      <c r="A240" s="213"/>
      <c r="B240" s="113" t="s">
        <v>232</v>
      </c>
      <c r="C240" s="118">
        <v>1296</v>
      </c>
      <c r="D240" s="121">
        <v>200</v>
      </c>
      <c r="E240" s="232">
        <f>D240-C240</f>
        <v>-1096</v>
      </c>
      <c r="F240" s="118">
        <f>D240/C240*100</f>
        <v>15.432098765432098</v>
      </c>
      <c r="G240" s="122" t="s">
        <v>400</v>
      </c>
    </row>
    <row r="241" spans="1:7" ht="47.25">
      <c r="A241" s="210"/>
      <c r="B241" s="113" t="s">
        <v>233</v>
      </c>
      <c r="C241" s="232">
        <v>90</v>
      </c>
      <c r="D241" s="120">
        <v>85</v>
      </c>
      <c r="E241" s="232">
        <f>D241-C241</f>
        <v>-5</v>
      </c>
      <c r="F241" s="118">
        <f>D241/C241*100</f>
        <v>94.444444444444443</v>
      </c>
      <c r="G241" s="122" t="s">
        <v>400</v>
      </c>
    </row>
    <row r="242" spans="1:7" ht="36.75" customHeight="1">
      <c r="A242" s="209" t="s">
        <v>384</v>
      </c>
      <c r="B242" s="999" t="s">
        <v>160</v>
      </c>
      <c r="C242" s="1000"/>
      <c r="D242" s="1000"/>
      <c r="E242" s="1000"/>
      <c r="F242" s="1000"/>
      <c r="G242" s="1001"/>
    </row>
    <row r="243" spans="1:7">
      <c r="A243" s="207"/>
      <c r="B243" s="151" t="s">
        <v>249</v>
      </c>
      <c r="C243" s="163">
        <v>288</v>
      </c>
      <c r="D243" s="120">
        <v>0</v>
      </c>
      <c r="E243" s="232">
        <f>D243-C243</f>
        <v>-288</v>
      </c>
      <c r="F243" s="118">
        <f>D243/C243*100</f>
        <v>0</v>
      </c>
      <c r="G243" s="122" t="s">
        <v>400</v>
      </c>
    </row>
    <row r="244" spans="1:7" ht="47.25">
      <c r="A244" s="207"/>
      <c r="B244" s="151" t="s">
        <v>385</v>
      </c>
      <c r="C244" s="163">
        <v>5</v>
      </c>
      <c r="D244" s="120">
        <v>0</v>
      </c>
      <c r="E244" s="232">
        <f>D244-C244</f>
        <v>-5</v>
      </c>
      <c r="F244" s="118">
        <f>D244/C244*100</f>
        <v>0</v>
      </c>
      <c r="G244" s="122" t="s">
        <v>400</v>
      </c>
    </row>
    <row r="245" spans="1:7" ht="47.25">
      <c r="A245" s="207"/>
      <c r="B245" s="151" t="s">
        <v>386</v>
      </c>
      <c r="C245" s="163">
        <v>57.6</v>
      </c>
      <c r="D245" s="120">
        <v>0</v>
      </c>
      <c r="E245" s="232">
        <f>D245-C245</f>
        <v>-57.6</v>
      </c>
      <c r="F245" s="118">
        <f>D245/C245*100</f>
        <v>0</v>
      </c>
      <c r="G245" s="122" t="s">
        <v>400</v>
      </c>
    </row>
    <row r="246" spans="1:7" ht="47.25">
      <c r="A246" s="207"/>
      <c r="B246" s="151" t="s">
        <v>387</v>
      </c>
      <c r="C246" s="163">
        <v>13</v>
      </c>
      <c r="D246" s="120">
        <v>0</v>
      </c>
      <c r="E246" s="232">
        <f>D246-C246</f>
        <v>-13</v>
      </c>
      <c r="F246" s="118">
        <f>D246/C246*100</f>
        <v>0</v>
      </c>
      <c r="G246" s="122" t="s">
        <v>400</v>
      </c>
    </row>
    <row r="247" spans="1:7">
      <c r="A247" s="211" t="s">
        <v>163</v>
      </c>
      <c r="B247" s="996" t="s">
        <v>162</v>
      </c>
      <c r="C247" s="997"/>
      <c r="D247" s="997"/>
      <c r="E247" s="997"/>
      <c r="F247" s="997"/>
      <c r="G247" s="998"/>
    </row>
    <row r="248" spans="1:7" ht="31.5">
      <c r="A248" s="213"/>
      <c r="B248" s="113" t="s">
        <v>234</v>
      </c>
      <c r="C248" s="116">
        <v>41</v>
      </c>
      <c r="D248" s="117">
        <v>6</v>
      </c>
      <c r="E248" s="116">
        <f>D248-C248</f>
        <v>-35</v>
      </c>
      <c r="F248" s="114">
        <f>D248/C248*100</f>
        <v>14.634146341463413</v>
      </c>
      <c r="G248" s="122" t="s">
        <v>400</v>
      </c>
    </row>
    <row r="249" spans="1:7" ht="47.25">
      <c r="A249" s="209"/>
      <c r="B249" s="113" t="s">
        <v>235</v>
      </c>
      <c r="C249" s="116">
        <v>100</v>
      </c>
      <c r="D249" s="236">
        <f>5*100/D248</f>
        <v>83.333333333333329</v>
      </c>
      <c r="E249" s="136">
        <f>D249-C249</f>
        <v>-16.666666666666671</v>
      </c>
      <c r="F249" s="114">
        <f>D249/C249*100</f>
        <v>83.333333333333329</v>
      </c>
      <c r="G249" s="122" t="s">
        <v>400</v>
      </c>
    </row>
    <row r="250" spans="1:7" ht="47.25">
      <c r="A250" s="210"/>
      <c r="B250" s="113" t="s">
        <v>236</v>
      </c>
      <c r="C250" s="116">
        <v>100</v>
      </c>
      <c r="D250" s="117">
        <v>100</v>
      </c>
      <c r="E250" s="116">
        <f>D250-C250</f>
        <v>0</v>
      </c>
      <c r="F250" s="114">
        <f>D250/C250*100</f>
        <v>100</v>
      </c>
      <c r="G250" s="122" t="s">
        <v>400</v>
      </c>
    </row>
    <row r="251" spans="1:7">
      <c r="A251" s="125"/>
    </row>
    <row r="252" spans="1:7">
      <c r="A252" s="125"/>
    </row>
    <row r="253" spans="1:7">
      <c r="A253" s="125"/>
      <c r="B253" s="237" t="s">
        <v>406</v>
      </c>
      <c r="C253" s="238" t="s">
        <v>407</v>
      </c>
    </row>
    <row r="254" spans="1:7" ht="43.5" customHeight="1">
      <c r="A254" s="125"/>
    </row>
    <row r="255" spans="1:7" ht="16.5" customHeight="1">
      <c r="A255" s="125"/>
      <c r="B255" s="237" t="s">
        <v>408</v>
      </c>
    </row>
    <row r="256" spans="1:7">
      <c r="A256" s="125"/>
      <c r="B256" s="237" t="s">
        <v>409</v>
      </c>
    </row>
    <row r="257" spans="1:1">
      <c r="A257" s="125"/>
    </row>
    <row r="258" spans="1:1">
      <c r="A258" s="125"/>
    </row>
    <row r="259" spans="1:1">
      <c r="A259" s="125"/>
    </row>
    <row r="260" spans="1:1">
      <c r="A260" s="125"/>
    </row>
    <row r="261" spans="1:1">
      <c r="A261" s="125"/>
    </row>
    <row r="262" spans="1:1">
      <c r="A262" s="125"/>
    </row>
    <row r="263" spans="1:1">
      <c r="A263" s="125"/>
    </row>
    <row r="264" spans="1:1">
      <c r="A264" s="125"/>
    </row>
    <row r="265" spans="1:1">
      <c r="A265" s="125"/>
    </row>
    <row r="266" spans="1:1">
      <c r="A266" s="125"/>
    </row>
    <row r="267" spans="1:1">
      <c r="A267" s="125"/>
    </row>
    <row r="268" spans="1:1">
      <c r="A268" s="125"/>
    </row>
    <row r="269" spans="1:1">
      <c r="A269" s="125"/>
    </row>
    <row r="270" spans="1:1">
      <c r="A270" s="125"/>
    </row>
    <row r="271" spans="1:1">
      <c r="A271" s="125"/>
    </row>
    <row r="272" spans="1:1">
      <c r="A272" s="125"/>
    </row>
    <row r="273" spans="1:1">
      <c r="A273" s="125"/>
    </row>
    <row r="274" spans="1:1">
      <c r="A274" s="125"/>
    </row>
    <row r="275" spans="1:1">
      <c r="A275" s="125"/>
    </row>
    <row r="276" spans="1:1">
      <c r="A276" s="125"/>
    </row>
    <row r="277" spans="1:1">
      <c r="A277" s="125"/>
    </row>
    <row r="278" spans="1:1">
      <c r="A278" s="125"/>
    </row>
    <row r="279" spans="1:1">
      <c r="A279" s="125"/>
    </row>
    <row r="280" spans="1:1">
      <c r="A280" s="125"/>
    </row>
    <row r="281" spans="1:1">
      <c r="A281" s="125"/>
    </row>
    <row r="282" spans="1:1">
      <c r="A282" s="125"/>
    </row>
    <row r="283" spans="1:1">
      <c r="A283" s="125"/>
    </row>
    <row r="284" spans="1:1">
      <c r="A284" s="125"/>
    </row>
    <row r="285" spans="1:1">
      <c r="A285" s="125"/>
    </row>
    <row r="286" spans="1:1">
      <c r="A286" s="125"/>
    </row>
    <row r="287" spans="1:1">
      <c r="A287" s="125"/>
    </row>
    <row r="288" spans="1:1">
      <c r="A288" s="125"/>
    </row>
    <row r="289" spans="1:1">
      <c r="A289" s="125"/>
    </row>
    <row r="290" spans="1:1">
      <c r="A290" s="125"/>
    </row>
    <row r="291" spans="1:1">
      <c r="A291" s="125"/>
    </row>
    <row r="292" spans="1:1">
      <c r="A292" s="125"/>
    </row>
    <row r="293" spans="1:1">
      <c r="A293" s="125"/>
    </row>
    <row r="294" spans="1:1">
      <c r="A294" s="125"/>
    </row>
    <row r="295" spans="1:1">
      <c r="A295" s="125"/>
    </row>
    <row r="296" spans="1:1">
      <c r="A296" s="125"/>
    </row>
    <row r="297" spans="1:1">
      <c r="A297" s="125"/>
    </row>
    <row r="298" spans="1:1">
      <c r="A298" s="125"/>
    </row>
    <row r="299" spans="1:1">
      <c r="A299" s="125"/>
    </row>
    <row r="300" spans="1:1">
      <c r="A300" s="125"/>
    </row>
    <row r="301" spans="1:1">
      <c r="A301" s="125"/>
    </row>
    <row r="302" spans="1:1">
      <c r="A302" s="125"/>
    </row>
    <row r="303" spans="1:1">
      <c r="A303" s="125"/>
    </row>
    <row r="304" spans="1:1">
      <c r="A304" s="125"/>
    </row>
    <row r="305" spans="1:1">
      <c r="A305" s="125"/>
    </row>
    <row r="306" spans="1:1">
      <c r="A306" s="125"/>
    </row>
    <row r="307" spans="1:1">
      <c r="A307" s="125"/>
    </row>
    <row r="308" spans="1:1">
      <c r="A308" s="125"/>
    </row>
    <row r="309" spans="1:1">
      <c r="A309" s="125"/>
    </row>
    <row r="310" spans="1:1">
      <c r="A310" s="125"/>
    </row>
    <row r="311" spans="1:1">
      <c r="A311" s="125"/>
    </row>
    <row r="312" spans="1:1">
      <c r="A312" s="125"/>
    </row>
    <row r="313" spans="1:1">
      <c r="A313" s="125"/>
    </row>
    <row r="314" spans="1:1">
      <c r="A314" s="125"/>
    </row>
    <row r="315" spans="1:1">
      <c r="A315" s="125"/>
    </row>
    <row r="316" spans="1:1">
      <c r="A316" s="125"/>
    </row>
    <row r="317" spans="1:1">
      <c r="A317" s="125"/>
    </row>
    <row r="318" spans="1:1">
      <c r="A318" s="125"/>
    </row>
    <row r="319" spans="1:1">
      <c r="A319" s="125"/>
    </row>
    <row r="320" spans="1:1">
      <c r="A320" s="125"/>
    </row>
    <row r="321" spans="1:1">
      <c r="A321" s="125"/>
    </row>
    <row r="322" spans="1:1">
      <c r="A322" s="125"/>
    </row>
    <row r="323" spans="1:1">
      <c r="A323" s="125"/>
    </row>
    <row r="324" spans="1:1">
      <c r="A324" s="125"/>
    </row>
    <row r="325" spans="1:1">
      <c r="A325" s="125"/>
    </row>
    <row r="326" spans="1:1">
      <c r="A326" s="125"/>
    </row>
    <row r="327" spans="1:1">
      <c r="A327" s="125"/>
    </row>
    <row r="328" spans="1:1">
      <c r="A328" s="125"/>
    </row>
    <row r="329" spans="1:1">
      <c r="A329" s="125"/>
    </row>
    <row r="330" spans="1:1">
      <c r="A330" s="125"/>
    </row>
    <row r="331" spans="1:1">
      <c r="A331" s="125"/>
    </row>
    <row r="332" spans="1:1">
      <c r="A332" s="125"/>
    </row>
    <row r="333" spans="1:1">
      <c r="A333" s="125"/>
    </row>
    <row r="334" spans="1:1">
      <c r="A334" s="125"/>
    </row>
    <row r="335" spans="1:1">
      <c r="A335" s="125"/>
    </row>
    <row r="336" spans="1:1">
      <c r="A336" s="125"/>
    </row>
    <row r="337" spans="1:1">
      <c r="A337" s="125"/>
    </row>
    <row r="338" spans="1:1">
      <c r="A338" s="125"/>
    </row>
    <row r="339" spans="1:1">
      <c r="A339" s="125"/>
    </row>
    <row r="340" spans="1:1">
      <c r="A340" s="125"/>
    </row>
    <row r="341" spans="1:1">
      <c r="A341" s="125"/>
    </row>
    <row r="342" spans="1:1">
      <c r="A342" s="125"/>
    </row>
    <row r="343" spans="1:1">
      <c r="A343" s="125"/>
    </row>
    <row r="344" spans="1:1">
      <c r="A344" s="125"/>
    </row>
    <row r="345" spans="1:1">
      <c r="A345" s="125"/>
    </row>
    <row r="346" spans="1:1">
      <c r="A346" s="125"/>
    </row>
    <row r="347" spans="1:1">
      <c r="A347" s="125"/>
    </row>
    <row r="348" spans="1:1">
      <c r="A348" s="125"/>
    </row>
    <row r="349" spans="1:1">
      <c r="A349" s="125"/>
    </row>
    <row r="350" spans="1:1">
      <c r="A350" s="125"/>
    </row>
    <row r="351" spans="1:1">
      <c r="A351" s="125"/>
    </row>
    <row r="352" spans="1:1">
      <c r="A352" s="125"/>
    </row>
    <row r="353" spans="1:1">
      <c r="A353" s="125"/>
    </row>
    <row r="354" spans="1:1">
      <c r="A354" s="125"/>
    </row>
    <row r="355" spans="1:1">
      <c r="A355" s="125"/>
    </row>
    <row r="356" spans="1:1">
      <c r="A356" s="125"/>
    </row>
    <row r="357" spans="1:1">
      <c r="A357" s="125"/>
    </row>
    <row r="358" spans="1:1">
      <c r="A358" s="125"/>
    </row>
    <row r="359" spans="1:1">
      <c r="A359" s="125"/>
    </row>
    <row r="360" spans="1:1">
      <c r="A360" s="125"/>
    </row>
    <row r="361" spans="1:1">
      <c r="A361" s="125"/>
    </row>
    <row r="362" spans="1:1">
      <c r="A362" s="125"/>
    </row>
    <row r="363" spans="1:1">
      <c r="A363" s="125"/>
    </row>
    <row r="364" spans="1:1">
      <c r="A364" s="125"/>
    </row>
    <row r="365" spans="1:1">
      <c r="A365" s="125"/>
    </row>
    <row r="366" spans="1:1">
      <c r="A366" s="125"/>
    </row>
    <row r="367" spans="1:1">
      <c r="A367" s="125"/>
    </row>
    <row r="368" spans="1:1">
      <c r="A368" s="125"/>
    </row>
    <row r="369" spans="1:1">
      <c r="A369" s="125"/>
    </row>
    <row r="370" spans="1:1">
      <c r="A370" s="125"/>
    </row>
    <row r="371" spans="1:1">
      <c r="A371" s="125"/>
    </row>
    <row r="372" spans="1:1">
      <c r="A372" s="125"/>
    </row>
    <row r="373" spans="1:1">
      <c r="A373" s="125"/>
    </row>
    <row r="374" spans="1:1">
      <c r="A374" s="125"/>
    </row>
    <row r="375" spans="1:1">
      <c r="A375" s="125"/>
    </row>
    <row r="376" spans="1:1">
      <c r="A376" s="125"/>
    </row>
    <row r="377" spans="1:1">
      <c r="A377" s="125"/>
    </row>
    <row r="378" spans="1:1">
      <c r="A378" s="125"/>
    </row>
    <row r="379" spans="1:1">
      <c r="A379" s="125"/>
    </row>
    <row r="380" spans="1:1">
      <c r="A380" s="125"/>
    </row>
    <row r="381" spans="1:1">
      <c r="A381" s="125"/>
    </row>
    <row r="382" spans="1:1">
      <c r="A382" s="125"/>
    </row>
    <row r="383" spans="1:1">
      <c r="A383" s="125"/>
    </row>
    <row r="384" spans="1:1">
      <c r="A384" s="125"/>
    </row>
    <row r="385" spans="1:1">
      <c r="A385" s="125"/>
    </row>
    <row r="386" spans="1:1">
      <c r="A386" s="125"/>
    </row>
    <row r="387" spans="1:1">
      <c r="A387" s="125"/>
    </row>
    <row r="388" spans="1:1">
      <c r="A388" s="125"/>
    </row>
    <row r="389" spans="1:1">
      <c r="A389" s="125"/>
    </row>
    <row r="390" spans="1:1">
      <c r="A390" s="125"/>
    </row>
    <row r="391" spans="1:1">
      <c r="A391" s="125"/>
    </row>
    <row r="392" spans="1:1">
      <c r="A392" s="125"/>
    </row>
    <row r="393" spans="1:1">
      <c r="A393" s="125"/>
    </row>
    <row r="394" spans="1:1">
      <c r="A394" s="125"/>
    </row>
    <row r="395" spans="1:1">
      <c r="A395" s="125"/>
    </row>
    <row r="396" spans="1:1">
      <c r="A396" s="125"/>
    </row>
    <row r="397" spans="1:1">
      <c r="A397" s="125"/>
    </row>
    <row r="398" spans="1:1">
      <c r="A398" s="125"/>
    </row>
    <row r="399" spans="1:1">
      <c r="A399" s="125"/>
    </row>
    <row r="400" spans="1:1">
      <c r="A400" s="125"/>
    </row>
    <row r="401" spans="1:1">
      <c r="A401" s="125"/>
    </row>
    <row r="402" spans="1:1">
      <c r="A402" s="125"/>
    </row>
    <row r="403" spans="1:1">
      <c r="A403" s="125"/>
    </row>
    <row r="404" spans="1:1">
      <c r="A404" s="125"/>
    </row>
    <row r="405" spans="1:1">
      <c r="A405" s="125"/>
    </row>
    <row r="406" spans="1:1">
      <c r="A406" s="125"/>
    </row>
    <row r="407" spans="1:1">
      <c r="A407" s="125"/>
    </row>
    <row r="408" spans="1:1">
      <c r="A408" s="125"/>
    </row>
    <row r="409" spans="1:1">
      <c r="A409" s="125"/>
    </row>
    <row r="410" spans="1:1">
      <c r="A410" s="125"/>
    </row>
    <row r="411" spans="1:1">
      <c r="A411" s="125"/>
    </row>
    <row r="412" spans="1:1">
      <c r="A412" s="125"/>
    </row>
    <row r="413" spans="1:1">
      <c r="A413" s="125"/>
    </row>
    <row r="414" spans="1:1">
      <c r="A414" s="125"/>
    </row>
    <row r="415" spans="1:1">
      <c r="A415" s="125"/>
    </row>
    <row r="416" spans="1:1">
      <c r="A416" s="125"/>
    </row>
    <row r="417" spans="1:1">
      <c r="A417" s="125"/>
    </row>
    <row r="418" spans="1:1">
      <c r="A418" s="125"/>
    </row>
    <row r="419" spans="1:1">
      <c r="A419" s="125"/>
    </row>
    <row r="420" spans="1:1">
      <c r="A420" s="125"/>
    </row>
    <row r="421" spans="1:1">
      <c r="A421" s="125"/>
    </row>
    <row r="422" spans="1:1">
      <c r="A422" s="125"/>
    </row>
    <row r="423" spans="1:1">
      <c r="A423" s="125"/>
    </row>
    <row r="424" spans="1:1">
      <c r="A424" s="125"/>
    </row>
    <row r="425" spans="1:1">
      <c r="A425" s="125"/>
    </row>
    <row r="426" spans="1:1">
      <c r="A426" s="125"/>
    </row>
    <row r="427" spans="1:1">
      <c r="A427" s="125"/>
    </row>
    <row r="428" spans="1:1">
      <c r="A428" s="125"/>
    </row>
    <row r="429" spans="1:1">
      <c r="A429" s="125"/>
    </row>
    <row r="430" spans="1:1">
      <c r="A430" s="125"/>
    </row>
    <row r="431" spans="1:1">
      <c r="A431" s="125"/>
    </row>
    <row r="432" spans="1:1">
      <c r="A432" s="125"/>
    </row>
    <row r="433" spans="1:1">
      <c r="A433" s="125"/>
    </row>
    <row r="434" spans="1:1">
      <c r="A434" s="125"/>
    </row>
    <row r="435" spans="1:1">
      <c r="A435" s="125"/>
    </row>
    <row r="436" spans="1:1">
      <c r="A436" s="125"/>
    </row>
    <row r="437" spans="1:1">
      <c r="A437" s="125"/>
    </row>
    <row r="438" spans="1:1">
      <c r="A438" s="125"/>
    </row>
    <row r="439" spans="1:1">
      <c r="A439" s="125"/>
    </row>
    <row r="440" spans="1:1">
      <c r="A440" s="125"/>
    </row>
    <row r="441" spans="1:1">
      <c r="A441" s="125"/>
    </row>
    <row r="442" spans="1:1">
      <c r="A442" s="125"/>
    </row>
    <row r="443" spans="1:1">
      <c r="A443" s="125"/>
    </row>
    <row r="444" spans="1:1">
      <c r="A444" s="125"/>
    </row>
    <row r="445" spans="1:1">
      <c r="A445" s="125"/>
    </row>
    <row r="446" spans="1:1">
      <c r="A446" s="125"/>
    </row>
    <row r="447" spans="1:1">
      <c r="A447" s="125"/>
    </row>
    <row r="448" spans="1:1">
      <c r="A448" s="125"/>
    </row>
    <row r="449" spans="1:1">
      <c r="A449" s="125"/>
    </row>
    <row r="450" spans="1:1">
      <c r="A450" s="125"/>
    </row>
    <row r="451" spans="1:1">
      <c r="A451" s="125"/>
    </row>
    <row r="452" spans="1:1">
      <c r="A452" s="125"/>
    </row>
    <row r="453" spans="1:1">
      <c r="A453" s="125"/>
    </row>
    <row r="454" spans="1:1">
      <c r="A454" s="125"/>
    </row>
    <row r="455" spans="1:1">
      <c r="A455" s="125"/>
    </row>
    <row r="456" spans="1:1">
      <c r="A456" s="125"/>
    </row>
    <row r="457" spans="1:1">
      <c r="A457" s="125"/>
    </row>
    <row r="458" spans="1:1">
      <c r="A458" s="125"/>
    </row>
    <row r="459" spans="1:1">
      <c r="A459" s="125"/>
    </row>
    <row r="460" spans="1:1">
      <c r="A460" s="125"/>
    </row>
    <row r="461" spans="1:1">
      <c r="A461" s="125"/>
    </row>
    <row r="462" spans="1:1">
      <c r="A462" s="125"/>
    </row>
    <row r="463" spans="1:1">
      <c r="A463" s="125"/>
    </row>
    <row r="464" spans="1:1">
      <c r="A464" s="125"/>
    </row>
    <row r="465" spans="1:1">
      <c r="A465" s="125"/>
    </row>
    <row r="466" spans="1:1">
      <c r="A466" s="125"/>
    </row>
    <row r="467" spans="1:1">
      <c r="A467" s="125"/>
    </row>
    <row r="468" spans="1:1">
      <c r="A468" s="125"/>
    </row>
    <row r="469" spans="1:1">
      <c r="A469" s="125"/>
    </row>
    <row r="470" spans="1:1">
      <c r="A470" s="125"/>
    </row>
    <row r="471" spans="1:1">
      <c r="A471" s="125"/>
    </row>
    <row r="472" spans="1:1">
      <c r="A472" s="125"/>
    </row>
    <row r="473" spans="1:1">
      <c r="A473" s="125"/>
    </row>
    <row r="474" spans="1:1">
      <c r="A474" s="125"/>
    </row>
    <row r="475" spans="1:1">
      <c r="A475" s="125"/>
    </row>
    <row r="476" spans="1:1">
      <c r="A476" s="125"/>
    </row>
    <row r="477" spans="1:1">
      <c r="A477" s="125"/>
    </row>
    <row r="478" spans="1:1">
      <c r="A478" s="125"/>
    </row>
    <row r="479" spans="1:1">
      <c r="A479" s="125"/>
    </row>
    <row r="480" spans="1:1">
      <c r="A480" s="125"/>
    </row>
    <row r="481" spans="1:1">
      <c r="A481" s="125"/>
    </row>
    <row r="482" spans="1:1">
      <c r="A482" s="125"/>
    </row>
    <row r="483" spans="1:1">
      <c r="A483" s="125"/>
    </row>
    <row r="484" spans="1:1">
      <c r="A484" s="125"/>
    </row>
    <row r="485" spans="1:1">
      <c r="A485" s="125"/>
    </row>
    <row r="486" spans="1:1">
      <c r="A486" s="125"/>
    </row>
    <row r="487" spans="1:1">
      <c r="A487" s="125"/>
    </row>
    <row r="488" spans="1:1">
      <c r="A488" s="125"/>
    </row>
    <row r="489" spans="1:1">
      <c r="A489" s="125"/>
    </row>
    <row r="490" spans="1:1">
      <c r="A490" s="125"/>
    </row>
    <row r="491" spans="1:1">
      <c r="A491" s="125"/>
    </row>
    <row r="492" spans="1:1">
      <c r="A492" s="125"/>
    </row>
    <row r="493" spans="1:1">
      <c r="A493" s="125"/>
    </row>
    <row r="494" spans="1:1">
      <c r="A494" s="125"/>
    </row>
    <row r="495" spans="1:1">
      <c r="A495" s="125"/>
    </row>
    <row r="496" spans="1:1">
      <c r="A496" s="125"/>
    </row>
    <row r="497" spans="1:1">
      <c r="A497" s="125"/>
    </row>
    <row r="498" spans="1:1">
      <c r="A498" s="125"/>
    </row>
    <row r="499" spans="1:1">
      <c r="A499" s="125"/>
    </row>
    <row r="500" spans="1:1">
      <c r="A500" s="125"/>
    </row>
    <row r="501" spans="1:1">
      <c r="A501" s="125"/>
    </row>
    <row r="502" spans="1:1">
      <c r="A502" s="125"/>
    </row>
    <row r="503" spans="1:1">
      <c r="A503" s="125"/>
    </row>
    <row r="504" spans="1:1">
      <c r="A504" s="125"/>
    </row>
    <row r="505" spans="1:1">
      <c r="A505" s="125"/>
    </row>
    <row r="506" spans="1:1">
      <c r="A506" s="125"/>
    </row>
    <row r="507" spans="1:1">
      <c r="A507" s="125"/>
    </row>
    <row r="508" spans="1:1">
      <c r="A508" s="125"/>
    </row>
    <row r="509" spans="1:1">
      <c r="A509" s="125"/>
    </row>
    <row r="510" spans="1:1">
      <c r="A510" s="125"/>
    </row>
    <row r="511" spans="1:1">
      <c r="A511" s="125"/>
    </row>
    <row r="512" spans="1:1">
      <c r="A512" s="125"/>
    </row>
    <row r="513" spans="1:1">
      <c r="A513" s="125"/>
    </row>
    <row r="514" spans="1:1">
      <c r="A514" s="125"/>
    </row>
    <row r="515" spans="1:1">
      <c r="A515" s="125"/>
    </row>
    <row r="516" spans="1:1">
      <c r="A516" s="125"/>
    </row>
    <row r="517" spans="1:1">
      <c r="A517" s="125"/>
    </row>
    <row r="518" spans="1:1">
      <c r="A518" s="125"/>
    </row>
    <row r="519" spans="1:1">
      <c r="A519" s="125"/>
    </row>
    <row r="520" spans="1:1">
      <c r="A520" s="125"/>
    </row>
    <row r="521" spans="1:1">
      <c r="A521" s="125"/>
    </row>
    <row r="522" spans="1:1">
      <c r="A522" s="125"/>
    </row>
    <row r="523" spans="1:1">
      <c r="A523" s="125"/>
    </row>
    <row r="524" spans="1:1">
      <c r="A524" s="125"/>
    </row>
    <row r="525" spans="1:1">
      <c r="A525" s="125"/>
    </row>
    <row r="526" spans="1:1">
      <c r="A526" s="125"/>
    </row>
    <row r="527" spans="1:1">
      <c r="A527" s="125"/>
    </row>
    <row r="528" spans="1:1">
      <c r="A528" s="125"/>
    </row>
    <row r="529" spans="1:1">
      <c r="A529" s="125"/>
    </row>
    <row r="530" spans="1:1">
      <c r="A530" s="125"/>
    </row>
    <row r="531" spans="1:1">
      <c r="A531" s="125"/>
    </row>
    <row r="532" spans="1:1">
      <c r="A532" s="125"/>
    </row>
    <row r="533" spans="1:1">
      <c r="A533" s="125"/>
    </row>
    <row r="534" spans="1:1">
      <c r="A534" s="125"/>
    </row>
    <row r="535" spans="1:1">
      <c r="A535" s="125"/>
    </row>
    <row r="536" spans="1:1">
      <c r="A536" s="125"/>
    </row>
    <row r="537" spans="1:1">
      <c r="A537" s="125"/>
    </row>
    <row r="538" spans="1:1">
      <c r="A538" s="125"/>
    </row>
    <row r="539" spans="1:1">
      <c r="A539" s="125"/>
    </row>
    <row r="540" spans="1:1">
      <c r="A540" s="125"/>
    </row>
    <row r="541" spans="1:1">
      <c r="A541" s="125"/>
    </row>
    <row r="542" spans="1:1">
      <c r="A542" s="125"/>
    </row>
    <row r="543" spans="1:1">
      <c r="A543" s="125"/>
    </row>
    <row r="544" spans="1:1">
      <c r="A544" s="125"/>
    </row>
    <row r="545" spans="1:1">
      <c r="A545" s="125"/>
    </row>
    <row r="546" spans="1:1">
      <c r="A546" s="125"/>
    </row>
    <row r="547" spans="1:1">
      <c r="A547" s="125"/>
    </row>
    <row r="548" spans="1:1">
      <c r="A548" s="125"/>
    </row>
    <row r="549" spans="1:1">
      <c r="A549" s="125"/>
    </row>
    <row r="550" spans="1:1">
      <c r="A550" s="125"/>
    </row>
    <row r="551" spans="1:1">
      <c r="A551" s="125"/>
    </row>
    <row r="552" spans="1:1">
      <c r="A552" s="125"/>
    </row>
    <row r="553" spans="1:1">
      <c r="A553" s="125"/>
    </row>
    <row r="554" spans="1:1">
      <c r="A554" s="125"/>
    </row>
    <row r="555" spans="1:1">
      <c r="A555" s="125"/>
    </row>
    <row r="556" spans="1:1">
      <c r="A556" s="125"/>
    </row>
    <row r="557" spans="1:1">
      <c r="A557" s="125"/>
    </row>
    <row r="558" spans="1:1">
      <c r="A558" s="125"/>
    </row>
    <row r="559" spans="1:1">
      <c r="A559" s="125"/>
    </row>
    <row r="560" spans="1:1">
      <c r="A560" s="125"/>
    </row>
    <row r="561" spans="1:1">
      <c r="A561" s="125"/>
    </row>
    <row r="562" spans="1:1">
      <c r="A562" s="125"/>
    </row>
    <row r="563" spans="1:1">
      <c r="A563" s="125"/>
    </row>
    <row r="564" spans="1:1">
      <c r="A564" s="125"/>
    </row>
    <row r="565" spans="1:1">
      <c r="A565" s="125"/>
    </row>
    <row r="566" spans="1:1">
      <c r="A566" s="125"/>
    </row>
    <row r="567" spans="1:1">
      <c r="A567" s="125"/>
    </row>
    <row r="568" spans="1:1">
      <c r="A568" s="125"/>
    </row>
    <row r="569" spans="1:1">
      <c r="A569" s="125"/>
    </row>
    <row r="570" spans="1:1">
      <c r="A570" s="125"/>
    </row>
    <row r="571" spans="1:1">
      <c r="A571" s="125"/>
    </row>
    <row r="572" spans="1:1">
      <c r="A572" s="125"/>
    </row>
    <row r="573" spans="1:1">
      <c r="A573" s="125"/>
    </row>
    <row r="574" spans="1:1">
      <c r="A574" s="125"/>
    </row>
    <row r="575" spans="1:1">
      <c r="A575" s="125"/>
    </row>
    <row r="576" spans="1:1">
      <c r="A576" s="125"/>
    </row>
    <row r="577" spans="1:1">
      <c r="A577" s="125"/>
    </row>
    <row r="578" spans="1:1">
      <c r="A578" s="125"/>
    </row>
    <row r="579" spans="1:1">
      <c r="A579" s="125"/>
    </row>
    <row r="580" spans="1:1">
      <c r="A580" s="125"/>
    </row>
    <row r="581" spans="1:1">
      <c r="A581" s="125"/>
    </row>
    <row r="582" spans="1:1">
      <c r="A582" s="125"/>
    </row>
    <row r="583" spans="1:1">
      <c r="A583" s="125"/>
    </row>
    <row r="584" spans="1:1">
      <c r="A584" s="125"/>
    </row>
    <row r="585" spans="1:1">
      <c r="A585" s="125"/>
    </row>
    <row r="586" spans="1:1">
      <c r="A586" s="125"/>
    </row>
    <row r="587" spans="1:1">
      <c r="A587" s="125"/>
    </row>
    <row r="588" spans="1:1">
      <c r="A588" s="125"/>
    </row>
    <row r="589" spans="1:1">
      <c r="A589" s="125"/>
    </row>
    <row r="590" spans="1:1">
      <c r="A590" s="125"/>
    </row>
    <row r="591" spans="1:1">
      <c r="A591" s="125"/>
    </row>
    <row r="592" spans="1:1">
      <c r="A592" s="125"/>
    </row>
    <row r="593" spans="1:1">
      <c r="A593" s="125"/>
    </row>
    <row r="594" spans="1:1">
      <c r="A594" s="125"/>
    </row>
    <row r="595" spans="1:1">
      <c r="A595" s="125"/>
    </row>
    <row r="596" spans="1:1">
      <c r="A596" s="125"/>
    </row>
    <row r="597" spans="1:1">
      <c r="A597" s="125"/>
    </row>
    <row r="598" spans="1:1">
      <c r="A598" s="125"/>
    </row>
    <row r="599" spans="1:1">
      <c r="A599" s="125"/>
    </row>
    <row r="600" spans="1:1">
      <c r="A600" s="125"/>
    </row>
    <row r="601" spans="1:1">
      <c r="A601" s="125"/>
    </row>
    <row r="602" spans="1:1">
      <c r="A602" s="125"/>
    </row>
    <row r="603" spans="1:1">
      <c r="A603" s="125"/>
    </row>
    <row r="604" spans="1:1">
      <c r="A604" s="125"/>
    </row>
    <row r="605" spans="1:1">
      <c r="A605" s="125"/>
    </row>
    <row r="606" spans="1:1">
      <c r="A606" s="125"/>
    </row>
    <row r="607" spans="1:1">
      <c r="A607" s="125"/>
    </row>
    <row r="608" spans="1:1">
      <c r="A608" s="125"/>
    </row>
    <row r="609" spans="1:1">
      <c r="A609" s="125"/>
    </row>
    <row r="610" spans="1:1">
      <c r="A610" s="125"/>
    </row>
    <row r="611" spans="1:1">
      <c r="A611" s="125"/>
    </row>
    <row r="612" spans="1:1">
      <c r="A612" s="125"/>
    </row>
    <row r="613" spans="1:1">
      <c r="A613" s="125"/>
    </row>
    <row r="614" spans="1:1">
      <c r="A614" s="125"/>
    </row>
    <row r="615" spans="1:1">
      <c r="A615" s="125"/>
    </row>
    <row r="616" spans="1:1">
      <c r="A616" s="125"/>
    </row>
    <row r="617" spans="1:1">
      <c r="A617" s="125"/>
    </row>
    <row r="618" spans="1:1">
      <c r="A618" s="125"/>
    </row>
    <row r="619" spans="1:1">
      <c r="A619" s="125"/>
    </row>
    <row r="620" spans="1:1">
      <c r="A620" s="125"/>
    </row>
    <row r="621" spans="1:1">
      <c r="A621" s="125"/>
    </row>
    <row r="622" spans="1:1">
      <c r="A622" s="125"/>
    </row>
    <row r="623" spans="1:1">
      <c r="A623" s="125"/>
    </row>
    <row r="624" spans="1:1">
      <c r="A624" s="125"/>
    </row>
    <row r="625" spans="1:1">
      <c r="A625" s="125"/>
    </row>
    <row r="626" spans="1:1">
      <c r="A626" s="125"/>
    </row>
    <row r="627" spans="1:1">
      <c r="A627" s="125"/>
    </row>
    <row r="628" spans="1:1">
      <c r="A628" s="125"/>
    </row>
    <row r="629" spans="1:1">
      <c r="A629" s="125"/>
    </row>
    <row r="630" spans="1:1">
      <c r="A630" s="125"/>
    </row>
    <row r="631" spans="1:1">
      <c r="A631" s="125"/>
    </row>
    <row r="632" spans="1:1">
      <c r="A632" s="125"/>
    </row>
  </sheetData>
  <mergeCells count="69">
    <mergeCell ref="B215:G215"/>
    <mergeCell ref="B233:G233"/>
    <mergeCell ref="B225:G225"/>
    <mergeCell ref="B228:G228"/>
    <mergeCell ref="B239:G239"/>
    <mergeCell ref="B137:G137"/>
    <mergeCell ref="B145:G145"/>
    <mergeCell ref="B161:G161"/>
    <mergeCell ref="B112:G112"/>
    <mergeCell ref="B126:G126"/>
    <mergeCell ref="B131:G131"/>
    <mergeCell ref="B134:G134"/>
    <mergeCell ref="B150:G150"/>
    <mergeCell ref="B151:G151"/>
    <mergeCell ref="B156:G156"/>
    <mergeCell ref="B115:G115"/>
    <mergeCell ref="B7:G7"/>
    <mergeCell ref="B176:G176"/>
    <mergeCell ref="B67:G67"/>
    <mergeCell ref="B73:G73"/>
    <mergeCell ref="B78:G78"/>
    <mergeCell ref="B81:G81"/>
    <mergeCell ref="B116:G116"/>
    <mergeCell ref="B119:G119"/>
    <mergeCell ref="B122:G122"/>
    <mergeCell ref="B125:G125"/>
    <mergeCell ref="B36:G36"/>
    <mergeCell ref="B41:G41"/>
    <mergeCell ref="B46:G46"/>
    <mergeCell ref="B53:G53"/>
    <mergeCell ref="B57:G57"/>
    <mergeCell ref="B62:G62"/>
    <mergeCell ref="A1:G1"/>
    <mergeCell ref="A2:G2"/>
    <mergeCell ref="A4:A5"/>
    <mergeCell ref="B4:B5"/>
    <mergeCell ref="C4:D4"/>
    <mergeCell ref="E4:E5"/>
    <mergeCell ref="F4:F5"/>
    <mergeCell ref="G4:G5"/>
    <mergeCell ref="B87:G87"/>
    <mergeCell ref="B107:G107"/>
    <mergeCell ref="B23:G23"/>
    <mergeCell ref="B28:G28"/>
    <mergeCell ref="B92:G92"/>
    <mergeCell ref="B95:G95"/>
    <mergeCell ref="B98:G98"/>
    <mergeCell ref="B101:G101"/>
    <mergeCell ref="B8:G8"/>
    <mergeCell ref="B13:G13"/>
    <mergeCell ref="B18:G18"/>
    <mergeCell ref="B31:G31"/>
    <mergeCell ref="B86:G86"/>
    <mergeCell ref="B247:G247"/>
    <mergeCell ref="B142:G142"/>
    <mergeCell ref="B186:G186"/>
    <mergeCell ref="B187:G187"/>
    <mergeCell ref="B188:G188"/>
    <mergeCell ref="B194:G194"/>
    <mergeCell ref="B222:G222"/>
    <mergeCell ref="B197:G197"/>
    <mergeCell ref="B181:G181"/>
    <mergeCell ref="B166:G166"/>
    <mergeCell ref="B234:G234"/>
    <mergeCell ref="B167:G167"/>
    <mergeCell ref="B242:G242"/>
    <mergeCell ref="B201:G201"/>
    <mergeCell ref="B202:G202"/>
    <mergeCell ref="B209:G209"/>
  </mergeCells>
  <printOptions horizontalCentered="1"/>
  <pageMargins left="0.23622047244094491" right="0.23622047244094491" top="0.74803149606299213" bottom="0.74803149606299213" header="0.31496062992125984" footer="0.31496062992125984"/>
  <pageSetup paperSize="9" scale="59" fitToHeight="16" orientation="portrait" horizontalDpi="180" verticalDpi="180" r:id="rId1"/>
  <rowBreaks count="3" manualBreakCount="3">
    <brk id="85" max="6" man="1"/>
    <brk id="186" max="6" man="1"/>
    <brk id="238" max="6" man="1"/>
  </rowBreaks>
</worksheet>
</file>

<file path=xl/worksheets/sheet4.xml><?xml version="1.0" encoding="utf-8"?>
<worksheet xmlns="http://schemas.openxmlformats.org/spreadsheetml/2006/main" xmlns:r="http://schemas.openxmlformats.org/officeDocument/2006/relationships">
  <dimension ref="A1:T13"/>
  <sheetViews>
    <sheetView workbookViewId="0">
      <selection sqref="A1:S1"/>
    </sheetView>
  </sheetViews>
  <sheetFormatPr defaultRowHeight="21"/>
  <cols>
    <col min="1" max="1" width="9.140625" style="80"/>
    <col min="2" max="16384" width="9.140625" style="81"/>
  </cols>
  <sheetData>
    <row r="1" spans="1:20" s="73" customFormat="1" ht="26.25">
      <c r="A1" s="981" t="s">
        <v>411</v>
      </c>
      <c r="B1" s="981"/>
      <c r="C1" s="981"/>
      <c r="D1" s="981"/>
      <c r="E1" s="981"/>
      <c r="F1" s="981"/>
      <c r="G1" s="981"/>
      <c r="H1" s="981"/>
      <c r="I1" s="981"/>
      <c r="J1" s="981"/>
      <c r="K1" s="981"/>
      <c r="L1" s="981"/>
      <c r="M1" s="981"/>
      <c r="N1" s="981"/>
      <c r="O1" s="981"/>
      <c r="P1" s="981"/>
      <c r="Q1" s="981"/>
      <c r="R1" s="981"/>
      <c r="S1" s="981"/>
      <c r="T1" s="72"/>
    </row>
    <row r="2" spans="1:20" s="77" customFormat="1" ht="45" customHeight="1">
      <c r="A2" s="74"/>
      <c r="B2" s="75"/>
      <c r="C2" s="76"/>
      <c r="D2" s="76"/>
      <c r="E2" s="76"/>
      <c r="F2" s="76"/>
      <c r="G2" s="76"/>
      <c r="H2" s="76"/>
      <c r="I2" s="76"/>
      <c r="J2" s="76"/>
      <c r="K2" s="76"/>
      <c r="L2" s="76"/>
      <c r="M2" s="76"/>
      <c r="N2" s="76"/>
      <c r="O2" s="76"/>
      <c r="P2" s="76"/>
      <c r="Q2" s="76"/>
      <c r="R2" s="76"/>
      <c r="S2" s="76" t="s">
        <v>16</v>
      </c>
      <c r="T2" s="76"/>
    </row>
    <row r="3" spans="1:20" s="73" customFormat="1" ht="26.25">
      <c r="A3" s="71" t="s">
        <v>17</v>
      </c>
      <c r="B3" s="982" t="s">
        <v>18</v>
      </c>
      <c r="C3" s="982"/>
      <c r="D3" s="982"/>
      <c r="E3" s="982"/>
      <c r="F3" s="982"/>
      <c r="G3" s="982"/>
      <c r="H3" s="982"/>
      <c r="I3" s="982"/>
      <c r="J3" s="982"/>
      <c r="K3" s="982"/>
      <c r="L3" s="982"/>
      <c r="M3" s="982"/>
      <c r="N3" s="982"/>
      <c r="O3" s="982"/>
      <c r="P3" s="982"/>
      <c r="Q3" s="982"/>
      <c r="R3" s="982"/>
      <c r="S3" s="982"/>
      <c r="T3" s="982"/>
    </row>
    <row r="4" spans="1:20" s="77" customFormat="1" ht="20.25">
      <c r="A4" s="74"/>
      <c r="B4" s="75" t="s">
        <v>19</v>
      </c>
      <c r="C4" s="76"/>
      <c r="D4" s="76"/>
      <c r="E4" s="76"/>
      <c r="F4" s="76"/>
      <c r="G4" s="76"/>
      <c r="H4" s="76"/>
      <c r="I4" s="76"/>
      <c r="J4" s="76"/>
      <c r="K4" s="76"/>
      <c r="L4" s="76"/>
      <c r="M4" s="76"/>
      <c r="N4" s="76"/>
      <c r="O4" s="76"/>
      <c r="P4" s="76"/>
      <c r="Q4" s="76"/>
      <c r="R4" s="76"/>
      <c r="S4" s="76"/>
      <c r="T4" s="76"/>
    </row>
    <row r="5" spans="1:20" s="77" customFormat="1" ht="65.25" customHeight="1">
      <c r="A5" s="74"/>
      <c r="B5" s="75"/>
      <c r="C5" s="76"/>
      <c r="D5" s="76"/>
      <c r="E5" s="76"/>
      <c r="F5" s="76"/>
      <c r="G5" s="76"/>
      <c r="H5" s="76"/>
      <c r="I5" s="76"/>
      <c r="J5" s="76"/>
      <c r="K5" s="76"/>
      <c r="L5" s="76"/>
      <c r="M5" s="76"/>
      <c r="N5" s="76"/>
      <c r="O5" s="76"/>
      <c r="P5" s="76"/>
      <c r="Q5" s="76"/>
      <c r="R5" s="76"/>
      <c r="S5" s="76"/>
      <c r="T5" s="76"/>
    </row>
    <row r="6" spans="1:20" s="73" customFormat="1" ht="26.25">
      <c r="A6" s="71" t="s">
        <v>184</v>
      </c>
      <c r="B6" s="78" t="s">
        <v>20</v>
      </c>
      <c r="C6" s="72"/>
      <c r="D6" s="72"/>
      <c r="E6" s="72"/>
      <c r="F6" s="72"/>
      <c r="G6" s="72"/>
      <c r="H6" s="72"/>
      <c r="I6" s="72"/>
      <c r="J6" s="72"/>
      <c r="K6" s="72"/>
      <c r="L6" s="72"/>
      <c r="M6" s="72"/>
      <c r="N6" s="72"/>
      <c r="O6" s="72"/>
      <c r="P6" s="72"/>
      <c r="Q6" s="72"/>
      <c r="R6" s="79"/>
      <c r="S6" s="79"/>
      <c r="T6" s="79"/>
    </row>
    <row r="7" spans="1:20" s="77" customFormat="1" ht="20.25">
      <c r="A7" s="74"/>
      <c r="B7" s="75" t="s">
        <v>21</v>
      </c>
      <c r="C7" s="76"/>
      <c r="D7" s="76"/>
      <c r="E7" s="76"/>
      <c r="F7" s="76"/>
      <c r="G7" s="76"/>
      <c r="H7" s="76"/>
      <c r="I7" s="76"/>
      <c r="J7" s="76"/>
      <c r="K7" s="76"/>
      <c r="L7" s="76"/>
      <c r="M7" s="76"/>
      <c r="N7" s="76"/>
      <c r="O7" s="76"/>
      <c r="P7" s="76"/>
      <c r="Q7" s="76"/>
      <c r="R7" s="76"/>
      <c r="S7" s="76"/>
      <c r="T7" s="76"/>
    </row>
    <row r="8" spans="1:20" s="77" customFormat="1" ht="58.5" customHeight="1">
      <c r="A8" s="74"/>
      <c r="B8" s="75"/>
      <c r="C8" s="76"/>
      <c r="D8" s="76"/>
      <c r="E8" s="76"/>
      <c r="F8" s="76"/>
      <c r="G8" s="76"/>
      <c r="H8" s="76"/>
      <c r="I8" s="76"/>
      <c r="J8" s="76"/>
      <c r="K8" s="76"/>
      <c r="L8" s="76"/>
      <c r="M8" s="76"/>
      <c r="N8" s="76"/>
      <c r="O8" s="76"/>
      <c r="P8" s="76"/>
      <c r="Q8" s="76"/>
      <c r="R8" s="76"/>
      <c r="S8" s="76"/>
      <c r="T8" s="76"/>
    </row>
    <row r="9" spans="1:20" s="73" customFormat="1" ht="55.5" customHeight="1">
      <c r="A9" s="71" t="s">
        <v>185</v>
      </c>
      <c r="B9" s="982" t="s">
        <v>25</v>
      </c>
      <c r="C9" s="982"/>
      <c r="D9" s="982"/>
      <c r="E9" s="982"/>
      <c r="F9" s="982"/>
      <c r="G9" s="982"/>
      <c r="H9" s="982"/>
      <c r="I9" s="982"/>
      <c r="J9" s="982"/>
      <c r="K9" s="982"/>
      <c r="L9" s="982"/>
      <c r="M9" s="982"/>
      <c r="N9" s="982"/>
      <c r="O9" s="982"/>
      <c r="P9" s="982"/>
      <c r="Q9" s="982"/>
      <c r="R9" s="982"/>
      <c r="S9" s="982"/>
      <c r="T9" s="982"/>
    </row>
    <row r="10" spans="1:20" s="77" customFormat="1" ht="20.25">
      <c r="A10" s="74"/>
      <c r="B10" s="75" t="s">
        <v>22</v>
      </c>
      <c r="C10" s="76"/>
      <c r="D10" s="76"/>
      <c r="E10" s="76"/>
      <c r="F10" s="76"/>
      <c r="G10" s="76"/>
      <c r="H10" s="76"/>
      <c r="I10" s="76"/>
      <c r="J10" s="76"/>
      <c r="K10" s="76"/>
      <c r="L10" s="76"/>
      <c r="M10" s="76"/>
      <c r="N10" s="76"/>
      <c r="O10" s="76"/>
      <c r="P10" s="76"/>
      <c r="Q10" s="76"/>
      <c r="R10" s="76"/>
      <c r="S10" s="76"/>
      <c r="T10" s="76"/>
    </row>
    <row r="11" spans="1:20" s="77" customFormat="1" ht="20.25">
      <c r="A11" s="74"/>
      <c r="B11" s="75"/>
      <c r="C11" s="76"/>
      <c r="D11" s="76"/>
      <c r="E11" s="76"/>
      <c r="F11" s="76"/>
      <c r="G11" s="76"/>
      <c r="H11" s="76"/>
      <c r="I11" s="76"/>
      <c r="J11" s="76"/>
      <c r="K11" s="76"/>
      <c r="L11" s="76"/>
      <c r="M11" s="76"/>
      <c r="N11" s="76"/>
      <c r="O11" s="76"/>
      <c r="P11" s="76"/>
      <c r="Q11" s="76"/>
      <c r="R11" s="76"/>
      <c r="S11" s="76"/>
      <c r="T11" s="76"/>
    </row>
    <row r="13" spans="1:20" s="73" customFormat="1" ht="26.25">
      <c r="A13" s="71" t="s">
        <v>23</v>
      </c>
      <c r="B13" s="982" t="s">
        <v>24</v>
      </c>
      <c r="C13" s="982"/>
      <c r="D13" s="982"/>
      <c r="E13" s="982"/>
      <c r="F13" s="982"/>
      <c r="G13" s="982"/>
      <c r="H13" s="982"/>
      <c r="I13" s="982"/>
      <c r="J13" s="982"/>
      <c r="K13" s="982"/>
      <c r="L13" s="982"/>
      <c r="M13" s="982"/>
      <c r="N13" s="982"/>
      <c r="O13" s="982"/>
      <c r="P13" s="982"/>
      <c r="Q13" s="982"/>
      <c r="R13" s="982"/>
      <c r="S13" s="982"/>
      <c r="T13" s="982"/>
    </row>
  </sheetData>
  <mergeCells count="4">
    <mergeCell ref="A1:S1"/>
    <mergeCell ref="B3:T3"/>
    <mergeCell ref="B9:T9"/>
    <mergeCell ref="B13:T1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2:M483"/>
  <sheetViews>
    <sheetView workbookViewId="0">
      <selection sqref="A1:S1"/>
    </sheetView>
  </sheetViews>
  <sheetFormatPr defaultRowHeight="15.75"/>
  <cols>
    <col min="1" max="1" width="6.42578125" style="17" customWidth="1"/>
    <col min="2" max="2" width="36.7109375" style="7" customWidth="1"/>
    <col min="3" max="3" width="26.140625" style="7" customWidth="1"/>
    <col min="4" max="4" width="14" style="25" customWidth="1"/>
    <col min="5" max="5" width="14.140625" style="61" customWidth="1"/>
    <col min="6" max="6" width="13" style="61" customWidth="1"/>
    <col min="7" max="7" width="12.42578125" style="243" customWidth="1"/>
    <col min="8" max="8" width="14" style="61" customWidth="1"/>
    <col min="9" max="9" width="12.42578125" style="112" customWidth="1"/>
    <col min="10" max="10" width="13" style="112" customWidth="1"/>
    <col min="11" max="11" width="11.85546875" style="112" customWidth="1"/>
    <col min="12" max="12" width="13" style="61" customWidth="1"/>
    <col min="13" max="13" width="11.140625" style="7" customWidth="1"/>
    <col min="14" max="16384" width="9.140625" style="7"/>
  </cols>
  <sheetData>
    <row r="2" spans="1:12" ht="15.75" customHeight="1">
      <c r="A2" s="990" t="s">
        <v>412</v>
      </c>
      <c r="B2" s="990"/>
      <c r="C2" s="990"/>
      <c r="D2" s="990"/>
      <c r="E2" s="990"/>
      <c r="F2" s="990"/>
      <c r="G2" s="990"/>
      <c r="H2" s="990"/>
      <c r="I2" s="990"/>
      <c r="J2" s="990"/>
      <c r="K2" s="990"/>
      <c r="L2" s="990"/>
    </row>
    <row r="4" spans="1:12" s="12" customFormat="1" ht="25.5" customHeight="1">
      <c r="A4" s="991" t="s">
        <v>26</v>
      </c>
      <c r="B4" s="992" t="s">
        <v>37</v>
      </c>
      <c r="C4" s="992" t="s">
        <v>38</v>
      </c>
      <c r="D4" s="992" t="s">
        <v>39</v>
      </c>
      <c r="E4" s="993" t="s">
        <v>45</v>
      </c>
      <c r="F4" s="993"/>
      <c r="G4" s="993"/>
      <c r="H4" s="993"/>
      <c r="I4" s="993" t="s">
        <v>40</v>
      </c>
      <c r="J4" s="993"/>
      <c r="K4" s="993"/>
      <c r="L4" s="993"/>
    </row>
    <row r="5" spans="1:12" s="12" customFormat="1" ht="15.75" customHeight="1">
      <c r="A5" s="991"/>
      <c r="B5" s="992"/>
      <c r="C5" s="992"/>
      <c r="D5" s="992"/>
      <c r="E5" s="989" t="s">
        <v>41</v>
      </c>
      <c r="F5" s="989" t="s">
        <v>42</v>
      </c>
      <c r="G5" s="989"/>
      <c r="H5" s="989"/>
      <c r="I5" s="994" t="s">
        <v>41</v>
      </c>
      <c r="J5" s="989" t="s">
        <v>42</v>
      </c>
      <c r="K5" s="989"/>
      <c r="L5" s="989"/>
    </row>
    <row r="6" spans="1:12" s="12" customFormat="1" ht="33" customHeight="1">
      <c r="A6" s="991"/>
      <c r="B6" s="992"/>
      <c r="C6" s="992"/>
      <c r="D6" s="992"/>
      <c r="E6" s="989"/>
      <c r="F6" s="83" t="s">
        <v>44</v>
      </c>
      <c r="G6" s="244" t="s">
        <v>43</v>
      </c>
      <c r="H6" s="83" t="s">
        <v>27</v>
      </c>
      <c r="I6" s="994"/>
      <c r="J6" s="108" t="s">
        <v>44</v>
      </c>
      <c r="K6" s="108" t="s">
        <v>43</v>
      </c>
      <c r="L6" s="83" t="s">
        <v>27</v>
      </c>
    </row>
    <row r="7" spans="1:12" s="12" customFormat="1">
      <c r="A7" s="1" t="s">
        <v>28</v>
      </c>
      <c r="B7" s="6">
        <v>2</v>
      </c>
      <c r="C7" s="1" t="s">
        <v>103</v>
      </c>
      <c r="D7" s="6">
        <v>4</v>
      </c>
      <c r="E7" s="83" t="s">
        <v>155</v>
      </c>
      <c r="F7" s="83">
        <v>6</v>
      </c>
      <c r="G7" s="244" t="s">
        <v>29</v>
      </c>
      <c r="H7" s="83">
        <v>8</v>
      </c>
      <c r="I7" s="108" t="s">
        <v>30</v>
      </c>
      <c r="J7" s="108">
        <v>10</v>
      </c>
      <c r="K7" s="108" t="s">
        <v>31</v>
      </c>
      <c r="L7" s="83">
        <v>12</v>
      </c>
    </row>
    <row r="8" spans="1:12" s="37" customFormat="1" ht="31.5">
      <c r="A8" s="2">
        <v>1</v>
      </c>
      <c r="B8" s="36" t="s">
        <v>48</v>
      </c>
      <c r="C8" s="4"/>
      <c r="D8" s="4"/>
      <c r="E8" s="27"/>
      <c r="F8" s="27"/>
      <c r="G8" s="245"/>
      <c r="H8" s="27"/>
      <c r="I8" s="109"/>
      <c r="J8" s="109"/>
      <c r="K8" s="109"/>
      <c r="L8" s="84"/>
    </row>
    <row r="9" spans="1:12" s="37" customFormat="1" ht="98.25" customHeight="1">
      <c r="A9" s="3" t="s">
        <v>46</v>
      </c>
      <c r="B9" s="38" t="s">
        <v>49</v>
      </c>
      <c r="C9" s="4"/>
      <c r="D9" s="4"/>
      <c r="E9" s="20">
        <f t="shared" ref="E9:L9" si="0">SUM(E10:E12)</f>
        <v>20823.465999999997</v>
      </c>
      <c r="F9" s="20">
        <f t="shared" si="0"/>
        <v>0</v>
      </c>
      <c r="G9" s="246">
        <f t="shared" si="0"/>
        <v>0</v>
      </c>
      <c r="H9" s="20">
        <f t="shared" si="0"/>
        <v>20823.465999999997</v>
      </c>
      <c r="I9" s="94">
        <f t="shared" si="0"/>
        <v>13418.63</v>
      </c>
      <c r="J9" s="85">
        <f t="shared" si="0"/>
        <v>0</v>
      </c>
      <c r="K9" s="85">
        <f t="shared" si="0"/>
        <v>0</v>
      </c>
      <c r="L9" s="85">
        <f t="shared" si="0"/>
        <v>13418.63</v>
      </c>
    </row>
    <row r="10" spans="1:12" s="18" customFormat="1" ht="25.5">
      <c r="A10" s="28"/>
      <c r="B10" s="29" t="s">
        <v>50</v>
      </c>
      <c r="C10" s="13" t="s">
        <v>32</v>
      </c>
      <c r="D10" s="30" t="s">
        <v>33</v>
      </c>
      <c r="E10" s="31">
        <f t="shared" ref="E10:E21" si="1">SUM(F10:H10)</f>
        <v>11170.18</v>
      </c>
      <c r="F10" s="31">
        <v>0</v>
      </c>
      <c r="G10" s="247">
        <v>0</v>
      </c>
      <c r="H10" s="31">
        <v>11170.18</v>
      </c>
      <c r="I10" s="93">
        <f t="shared" ref="I10:I17" si="2">SUM(J10:L10)</f>
        <v>6897.73</v>
      </c>
      <c r="J10" s="93">
        <v>0</v>
      </c>
      <c r="K10" s="93">
        <v>0</v>
      </c>
      <c r="L10" s="87">
        <v>6897.73</v>
      </c>
    </row>
    <row r="11" spans="1:12" s="18" customFormat="1" ht="25.5">
      <c r="A11" s="34"/>
      <c r="B11" s="29" t="s">
        <v>47</v>
      </c>
      <c r="C11" s="13" t="s">
        <v>34</v>
      </c>
      <c r="D11" s="30" t="s">
        <v>33</v>
      </c>
      <c r="E11" s="31">
        <f t="shared" si="1"/>
        <v>5909.49</v>
      </c>
      <c r="F11" s="31">
        <v>0</v>
      </c>
      <c r="G11" s="247">
        <v>0</v>
      </c>
      <c r="H11" s="31">
        <v>5909.49</v>
      </c>
      <c r="I11" s="93">
        <f t="shared" si="2"/>
        <v>4976.6000000000004</v>
      </c>
      <c r="J11" s="93">
        <v>0</v>
      </c>
      <c r="K11" s="93">
        <v>0</v>
      </c>
      <c r="L11" s="88">
        <v>4976.6000000000004</v>
      </c>
    </row>
    <row r="12" spans="1:12" s="18" customFormat="1" ht="15" customHeight="1">
      <c r="A12" s="34"/>
      <c r="B12" s="29" t="s">
        <v>52</v>
      </c>
      <c r="C12" s="13" t="s">
        <v>51</v>
      </c>
      <c r="D12" s="30" t="s">
        <v>33</v>
      </c>
      <c r="E12" s="32">
        <f t="shared" si="1"/>
        <v>3743.7959999999998</v>
      </c>
      <c r="F12" s="31">
        <v>0</v>
      </c>
      <c r="G12" s="247">
        <v>0</v>
      </c>
      <c r="H12" s="32">
        <v>3743.7959999999998</v>
      </c>
      <c r="I12" s="93">
        <f t="shared" si="2"/>
        <v>1544.3</v>
      </c>
      <c r="J12" s="93">
        <v>0</v>
      </c>
      <c r="K12" s="93">
        <v>0</v>
      </c>
      <c r="L12" s="86">
        <v>1544.3</v>
      </c>
    </row>
    <row r="13" spans="1:12" s="37" customFormat="1" ht="78.75">
      <c r="A13" s="3" t="s">
        <v>63</v>
      </c>
      <c r="B13" s="38" t="s">
        <v>53</v>
      </c>
      <c r="C13" s="4" t="s">
        <v>51</v>
      </c>
      <c r="D13" s="4" t="s">
        <v>33</v>
      </c>
      <c r="E13" s="39">
        <f t="shared" si="1"/>
        <v>620</v>
      </c>
      <c r="F13" s="39">
        <v>0</v>
      </c>
      <c r="G13" s="246">
        <v>0</v>
      </c>
      <c r="H13" s="39">
        <v>620</v>
      </c>
      <c r="I13" s="94">
        <f t="shared" si="2"/>
        <v>1673.39</v>
      </c>
      <c r="J13" s="94">
        <v>0</v>
      </c>
      <c r="K13" s="94">
        <v>0</v>
      </c>
      <c r="L13" s="85">
        <v>1673.39</v>
      </c>
    </row>
    <row r="14" spans="1:12" s="37" customFormat="1" ht="63">
      <c r="A14" s="3" t="s">
        <v>65</v>
      </c>
      <c r="B14" s="38" t="s">
        <v>54</v>
      </c>
      <c r="C14" s="4" t="s">
        <v>51</v>
      </c>
      <c r="D14" s="4" t="s">
        <v>33</v>
      </c>
      <c r="E14" s="39">
        <f t="shared" si="1"/>
        <v>0</v>
      </c>
      <c r="F14" s="39">
        <v>0</v>
      </c>
      <c r="G14" s="246">
        <v>0</v>
      </c>
      <c r="H14" s="20">
        <v>0</v>
      </c>
      <c r="I14" s="94">
        <f t="shared" si="2"/>
        <v>1252.05</v>
      </c>
      <c r="J14" s="94">
        <v>0</v>
      </c>
      <c r="K14" s="94">
        <v>0</v>
      </c>
      <c r="L14" s="85">
        <v>1252.05</v>
      </c>
    </row>
    <row r="15" spans="1:12" s="37" customFormat="1" ht="78.75">
      <c r="A15" s="3" t="s">
        <v>66</v>
      </c>
      <c r="B15" s="38" t="s">
        <v>55</v>
      </c>
      <c r="C15" s="4" t="s">
        <v>51</v>
      </c>
      <c r="D15" s="4" t="s">
        <v>33</v>
      </c>
      <c r="E15" s="39">
        <f t="shared" si="1"/>
        <v>1150</v>
      </c>
      <c r="F15" s="39">
        <v>0</v>
      </c>
      <c r="G15" s="246">
        <v>0</v>
      </c>
      <c r="H15" s="20">
        <v>1150</v>
      </c>
      <c r="I15" s="94">
        <f t="shared" si="2"/>
        <v>633.14</v>
      </c>
      <c r="J15" s="94">
        <v>0</v>
      </c>
      <c r="K15" s="94">
        <v>0</v>
      </c>
      <c r="L15" s="85">
        <v>633.14</v>
      </c>
    </row>
    <row r="16" spans="1:12" s="37" customFormat="1" ht="78.75">
      <c r="A16" s="40" t="s">
        <v>67</v>
      </c>
      <c r="B16" s="41" t="s">
        <v>56</v>
      </c>
      <c r="C16" s="11" t="s">
        <v>60</v>
      </c>
      <c r="D16" s="4" t="s">
        <v>33</v>
      </c>
      <c r="E16" s="39">
        <f t="shared" si="1"/>
        <v>80.28</v>
      </c>
      <c r="F16" s="39">
        <v>0</v>
      </c>
      <c r="G16" s="246">
        <v>0</v>
      </c>
      <c r="H16" s="39">
        <v>80.28</v>
      </c>
      <c r="I16" s="94">
        <f t="shared" si="2"/>
        <v>0</v>
      </c>
      <c r="J16" s="94">
        <v>0</v>
      </c>
      <c r="K16" s="94">
        <v>0</v>
      </c>
      <c r="L16" s="89">
        <v>0</v>
      </c>
    </row>
    <row r="17" spans="1:12" s="37" customFormat="1" ht="78.75">
      <c r="A17" s="3" t="s">
        <v>68</v>
      </c>
      <c r="B17" s="38" t="s">
        <v>57</v>
      </c>
      <c r="C17" s="4" t="s">
        <v>51</v>
      </c>
      <c r="D17" s="4" t="s">
        <v>33</v>
      </c>
      <c r="E17" s="39">
        <f t="shared" si="1"/>
        <v>635</v>
      </c>
      <c r="F17" s="39">
        <v>0</v>
      </c>
      <c r="G17" s="246">
        <v>0</v>
      </c>
      <c r="H17" s="39">
        <v>635</v>
      </c>
      <c r="I17" s="94">
        <f t="shared" si="2"/>
        <v>538.91</v>
      </c>
      <c r="J17" s="94">
        <v>0</v>
      </c>
      <c r="K17" s="94">
        <v>0</v>
      </c>
      <c r="L17" s="85">
        <v>538.91</v>
      </c>
    </row>
    <row r="18" spans="1:12" s="37" customFormat="1" ht="63.75" customHeight="1">
      <c r="A18" s="3" t="s">
        <v>64</v>
      </c>
      <c r="B18" s="38" t="s">
        <v>58</v>
      </c>
      <c r="C18" s="4" t="s">
        <v>59</v>
      </c>
      <c r="D18" s="4" t="s">
        <v>33</v>
      </c>
      <c r="E18" s="39">
        <f t="shared" si="1"/>
        <v>2518.7399999999998</v>
      </c>
      <c r="F18" s="39">
        <f t="shared" ref="F18:L18" si="3">SUM(F19:F20)</f>
        <v>1652.29</v>
      </c>
      <c r="G18" s="246">
        <f t="shared" si="3"/>
        <v>355.45</v>
      </c>
      <c r="H18" s="39">
        <f t="shared" si="3"/>
        <v>511</v>
      </c>
      <c r="I18" s="94">
        <f t="shared" si="3"/>
        <v>2523.6999999999998</v>
      </c>
      <c r="J18" s="94">
        <f t="shared" si="3"/>
        <v>0</v>
      </c>
      <c r="K18" s="94">
        <f t="shared" si="3"/>
        <v>0</v>
      </c>
      <c r="L18" s="89">
        <f t="shared" si="3"/>
        <v>2523.6999999999998</v>
      </c>
    </row>
    <row r="19" spans="1:12" s="18" customFormat="1" ht="51">
      <c r="A19" s="34"/>
      <c r="B19" s="43" t="s">
        <v>61</v>
      </c>
      <c r="C19" s="13" t="s">
        <v>62</v>
      </c>
      <c r="D19" s="30" t="s">
        <v>33</v>
      </c>
      <c r="E19" s="32">
        <f t="shared" si="1"/>
        <v>148.44999999999999</v>
      </c>
      <c r="F19" s="35">
        <v>0</v>
      </c>
      <c r="G19" s="247">
        <v>148.44999999999999</v>
      </c>
      <c r="H19" s="35">
        <v>0</v>
      </c>
      <c r="I19" s="90">
        <f>SUM(J19:L19)</f>
        <v>0</v>
      </c>
      <c r="J19" s="90">
        <v>0</v>
      </c>
      <c r="K19" s="90">
        <v>0</v>
      </c>
      <c r="L19" s="88">
        <v>0</v>
      </c>
    </row>
    <row r="20" spans="1:12" s="18" customFormat="1" ht="51">
      <c r="A20" s="34"/>
      <c r="B20" s="43" t="s">
        <v>5</v>
      </c>
      <c r="C20" s="13" t="s">
        <v>62</v>
      </c>
      <c r="D20" s="30" t="s">
        <v>33</v>
      </c>
      <c r="E20" s="32">
        <f t="shared" si="1"/>
        <v>2370.29</v>
      </c>
      <c r="F20" s="44">
        <v>1652.29</v>
      </c>
      <c r="G20" s="247">
        <v>207</v>
      </c>
      <c r="H20" s="44">
        <v>511</v>
      </c>
      <c r="I20" s="90">
        <f>SUM(J20:L20)</f>
        <v>2523.6999999999998</v>
      </c>
      <c r="J20" s="90">
        <v>0</v>
      </c>
      <c r="K20" s="90">
        <v>0</v>
      </c>
      <c r="L20" s="90">
        <v>2523.6999999999998</v>
      </c>
    </row>
    <row r="21" spans="1:12" s="37" customFormat="1" ht="63.75" customHeight="1">
      <c r="A21" s="40" t="s">
        <v>69</v>
      </c>
      <c r="B21" s="41" t="s">
        <v>70</v>
      </c>
      <c r="C21" s="11" t="s">
        <v>62</v>
      </c>
      <c r="D21" s="4" t="s">
        <v>33</v>
      </c>
      <c r="E21" s="39">
        <f t="shared" si="1"/>
        <v>0</v>
      </c>
      <c r="F21" s="39">
        <v>0</v>
      </c>
      <c r="G21" s="246">
        <v>0</v>
      </c>
      <c r="H21" s="39">
        <v>0</v>
      </c>
      <c r="I21" s="94">
        <f>SUM(J21:L21)</f>
        <v>0</v>
      </c>
      <c r="J21" s="94">
        <v>0</v>
      </c>
      <c r="K21" s="94">
        <v>0</v>
      </c>
      <c r="L21" s="89">
        <v>0</v>
      </c>
    </row>
    <row r="22" spans="1:12" s="37" customFormat="1" ht="63">
      <c r="A22" s="3" t="s">
        <v>71</v>
      </c>
      <c r="B22" s="38" t="s">
        <v>6</v>
      </c>
      <c r="C22" s="4" t="s">
        <v>62</v>
      </c>
      <c r="D22" s="4" t="s">
        <v>33</v>
      </c>
      <c r="E22" s="39">
        <f t="shared" ref="E22:L22" si="4">SUM(E23:E25)</f>
        <v>4377.0999999999995</v>
      </c>
      <c r="F22" s="39">
        <f t="shared" si="4"/>
        <v>2902.74</v>
      </c>
      <c r="G22" s="246">
        <f t="shared" si="4"/>
        <v>1474.36</v>
      </c>
      <c r="H22" s="39">
        <f t="shared" si="4"/>
        <v>0</v>
      </c>
      <c r="I22" s="94">
        <f t="shared" si="4"/>
        <v>2077.2200000000003</v>
      </c>
      <c r="J22" s="94">
        <f t="shared" si="4"/>
        <v>349.51</v>
      </c>
      <c r="K22" s="94">
        <f t="shared" si="4"/>
        <v>1015.84</v>
      </c>
      <c r="L22" s="89">
        <f t="shared" si="4"/>
        <v>711.87</v>
      </c>
    </row>
    <row r="23" spans="1:12" s="18" customFormat="1" ht="25.5">
      <c r="A23" s="49"/>
      <c r="B23" s="29" t="s">
        <v>72</v>
      </c>
      <c r="C23" s="13" t="s">
        <v>62</v>
      </c>
      <c r="D23" s="30" t="s">
        <v>33</v>
      </c>
      <c r="E23" s="32">
        <f>SUM(F23:H23)</f>
        <v>2902.74</v>
      </c>
      <c r="F23" s="32">
        <v>2902.74</v>
      </c>
      <c r="G23" s="248"/>
      <c r="H23" s="32"/>
      <c r="I23" s="93">
        <f>SUM(J23:L23)</f>
        <v>1052.48</v>
      </c>
      <c r="J23" s="93">
        <v>349.51</v>
      </c>
      <c r="K23" s="93"/>
      <c r="L23" s="87">
        <v>702.97</v>
      </c>
    </row>
    <row r="24" spans="1:12" s="18" customFormat="1" ht="38.25">
      <c r="A24" s="50"/>
      <c r="B24" s="51" t="s">
        <v>73</v>
      </c>
      <c r="C24" s="48" t="s">
        <v>59</v>
      </c>
      <c r="D24" s="30" t="s">
        <v>33</v>
      </c>
      <c r="E24" s="32">
        <f>SUM(F24:H24)</f>
        <v>1474.36</v>
      </c>
      <c r="F24" s="32">
        <v>0</v>
      </c>
      <c r="G24" s="247">
        <v>1474.36</v>
      </c>
      <c r="H24" s="32"/>
      <c r="I24" s="93">
        <f>SUM(J24:L24)</f>
        <v>1015.84</v>
      </c>
      <c r="J24" s="90">
        <v>0</v>
      </c>
      <c r="K24" s="93">
        <v>1015.84</v>
      </c>
      <c r="L24" s="87">
        <v>0</v>
      </c>
    </row>
    <row r="25" spans="1:12" s="18" customFormat="1" ht="38.25">
      <c r="A25" s="34"/>
      <c r="B25" s="43" t="s">
        <v>74</v>
      </c>
      <c r="C25" s="13" t="s">
        <v>59</v>
      </c>
      <c r="D25" s="30" t="s">
        <v>33</v>
      </c>
      <c r="E25" s="32">
        <f>SUM(F25:H25)</f>
        <v>0</v>
      </c>
      <c r="F25" s="35">
        <v>0</v>
      </c>
      <c r="G25" s="247">
        <v>0</v>
      </c>
      <c r="H25" s="35"/>
      <c r="I25" s="93">
        <f>SUM(J25:L25)</f>
        <v>8.9</v>
      </c>
      <c r="J25" s="90">
        <v>0</v>
      </c>
      <c r="K25" s="90">
        <v>0</v>
      </c>
      <c r="L25" s="88">
        <v>8.9</v>
      </c>
    </row>
    <row r="26" spans="1:12" s="37" customFormat="1" ht="110.25">
      <c r="A26" s="3" t="s">
        <v>75</v>
      </c>
      <c r="B26" s="38" t="s">
        <v>76</v>
      </c>
      <c r="C26" s="11" t="s">
        <v>51</v>
      </c>
      <c r="D26" s="4" t="s">
        <v>33</v>
      </c>
      <c r="E26" s="39">
        <f>SUM(F26:H26)</f>
        <v>150</v>
      </c>
      <c r="F26" s="39">
        <v>0</v>
      </c>
      <c r="G26" s="246">
        <v>0</v>
      </c>
      <c r="H26" s="39">
        <v>150</v>
      </c>
      <c r="I26" s="94">
        <f>SUM(J26:L26)</f>
        <v>22.44</v>
      </c>
      <c r="J26" s="94">
        <v>0</v>
      </c>
      <c r="K26" s="94">
        <v>0</v>
      </c>
      <c r="L26" s="89">
        <v>22.44</v>
      </c>
    </row>
    <row r="27" spans="1:12" ht="63">
      <c r="A27" s="15" t="s">
        <v>78</v>
      </c>
      <c r="B27" s="10" t="s">
        <v>77</v>
      </c>
      <c r="C27" s="9"/>
      <c r="D27" s="9"/>
      <c r="E27" s="22"/>
      <c r="F27" s="22"/>
      <c r="G27" s="249"/>
      <c r="H27" s="22"/>
      <c r="I27" s="95"/>
      <c r="J27" s="95"/>
      <c r="K27" s="95"/>
      <c r="L27" s="91"/>
    </row>
    <row r="28" spans="1:12" s="37" customFormat="1" ht="63">
      <c r="A28" s="40" t="s">
        <v>80</v>
      </c>
      <c r="B28" s="41" t="s">
        <v>79</v>
      </c>
      <c r="C28" s="11" t="s">
        <v>88</v>
      </c>
      <c r="D28" s="4" t="s">
        <v>33</v>
      </c>
      <c r="E28" s="39">
        <f>SUM(F28:H28)</f>
        <v>4344.8999999999996</v>
      </c>
      <c r="F28" s="39">
        <v>0</v>
      </c>
      <c r="G28" s="246">
        <v>4344.8999999999996</v>
      </c>
      <c r="H28" s="39">
        <v>0</v>
      </c>
      <c r="I28" s="94">
        <f>SUM(J28:L28)</f>
        <v>1023.17</v>
      </c>
      <c r="J28" s="94">
        <v>120.51</v>
      </c>
      <c r="K28" s="94">
        <v>793.8</v>
      </c>
      <c r="L28" s="89">
        <v>108.86</v>
      </c>
    </row>
    <row r="29" spans="1:12" s="37" customFormat="1" ht="192" customHeight="1">
      <c r="A29" s="3" t="s">
        <v>81</v>
      </c>
      <c r="B29" s="38" t="s">
        <v>35</v>
      </c>
      <c r="C29" s="4" t="s">
        <v>62</v>
      </c>
      <c r="D29" s="4" t="s">
        <v>33</v>
      </c>
      <c r="E29" s="20">
        <v>0</v>
      </c>
      <c r="F29" s="20">
        <v>0</v>
      </c>
      <c r="G29" s="246">
        <v>0</v>
      </c>
      <c r="H29" s="20">
        <v>0</v>
      </c>
      <c r="I29" s="94">
        <f>SUM(J29:L29)</f>
        <v>0</v>
      </c>
      <c r="J29" s="94">
        <v>0</v>
      </c>
      <c r="K29" s="94">
        <v>0</v>
      </c>
      <c r="L29" s="85">
        <v>0</v>
      </c>
    </row>
    <row r="30" spans="1:12" s="37" customFormat="1" ht="78.75">
      <c r="A30" s="3" t="s">
        <v>83</v>
      </c>
      <c r="B30" s="38" t="s">
        <v>82</v>
      </c>
      <c r="C30" s="4" t="s">
        <v>62</v>
      </c>
      <c r="D30" s="4" t="s">
        <v>33</v>
      </c>
      <c r="E30" s="20">
        <v>0</v>
      </c>
      <c r="F30" s="20">
        <v>0</v>
      </c>
      <c r="G30" s="246">
        <v>0</v>
      </c>
      <c r="H30" s="20">
        <v>0</v>
      </c>
      <c r="I30" s="94">
        <f>SUM(J30:L30)</f>
        <v>0</v>
      </c>
      <c r="J30" s="94">
        <v>0</v>
      </c>
      <c r="K30" s="94">
        <v>0</v>
      </c>
      <c r="L30" s="85">
        <v>0</v>
      </c>
    </row>
    <row r="31" spans="1:12" s="37" customFormat="1" ht="34.5" customHeight="1">
      <c r="A31" s="3" t="s">
        <v>85</v>
      </c>
      <c r="B31" s="38" t="s">
        <v>84</v>
      </c>
      <c r="C31" s="4" t="s">
        <v>62</v>
      </c>
      <c r="D31" s="4" t="s">
        <v>33</v>
      </c>
      <c r="E31" s="20">
        <v>0</v>
      </c>
      <c r="F31" s="20">
        <v>0</v>
      </c>
      <c r="G31" s="246">
        <v>0</v>
      </c>
      <c r="H31" s="20">
        <v>0</v>
      </c>
      <c r="I31" s="94">
        <f>SUM(J31:L31)</f>
        <v>0</v>
      </c>
      <c r="J31" s="94">
        <v>0</v>
      </c>
      <c r="K31" s="94">
        <v>0</v>
      </c>
      <c r="L31" s="85">
        <v>0</v>
      </c>
    </row>
    <row r="32" spans="1:12" s="37" customFormat="1" ht="34.5" customHeight="1">
      <c r="A32" s="3" t="s">
        <v>87</v>
      </c>
      <c r="B32" s="38" t="s">
        <v>86</v>
      </c>
      <c r="C32" s="4" t="s">
        <v>88</v>
      </c>
      <c r="D32" s="4" t="s">
        <v>33</v>
      </c>
      <c r="E32" s="20">
        <f>F32+G32+H32</f>
        <v>0</v>
      </c>
      <c r="F32" s="20">
        <v>0</v>
      </c>
      <c r="G32" s="246">
        <v>0</v>
      </c>
      <c r="H32" s="20">
        <v>0</v>
      </c>
      <c r="I32" s="94">
        <f>SUM(J32:L32)</f>
        <v>0</v>
      </c>
      <c r="J32" s="94">
        <v>0</v>
      </c>
      <c r="K32" s="94">
        <v>0</v>
      </c>
      <c r="L32" s="85">
        <v>0</v>
      </c>
    </row>
    <row r="33" spans="1:13" s="37" customFormat="1" ht="78.75">
      <c r="A33" s="3" t="s">
        <v>90</v>
      </c>
      <c r="B33" s="38" t="s">
        <v>89</v>
      </c>
      <c r="C33" s="4" t="s">
        <v>91</v>
      </c>
      <c r="D33" s="4" t="s">
        <v>33</v>
      </c>
      <c r="E33" s="20">
        <f t="shared" ref="E33:L33" si="5">SUM(E34:E36)</f>
        <v>1200.2</v>
      </c>
      <c r="F33" s="20">
        <f t="shared" si="5"/>
        <v>0</v>
      </c>
      <c r="G33" s="246">
        <f t="shared" si="5"/>
        <v>0</v>
      </c>
      <c r="H33" s="59">
        <f t="shared" si="5"/>
        <v>1200.2</v>
      </c>
      <c r="I33" s="94">
        <f t="shared" si="5"/>
        <v>2234.36</v>
      </c>
      <c r="J33" s="94">
        <f t="shared" si="5"/>
        <v>0</v>
      </c>
      <c r="K33" s="94">
        <f t="shared" si="5"/>
        <v>0</v>
      </c>
      <c r="L33" s="85">
        <f t="shared" si="5"/>
        <v>2234.36</v>
      </c>
    </row>
    <row r="34" spans="1:13" s="52" customFormat="1" ht="51">
      <c r="A34" s="49"/>
      <c r="B34" s="29" t="s">
        <v>92</v>
      </c>
      <c r="C34" s="13" t="s">
        <v>51</v>
      </c>
      <c r="D34" s="13" t="s">
        <v>33</v>
      </c>
      <c r="E34" s="33">
        <f>SUM(F34:H34)</f>
        <v>704</v>
      </c>
      <c r="F34" s="33">
        <v>0</v>
      </c>
      <c r="G34" s="248">
        <v>0</v>
      </c>
      <c r="H34" s="33">
        <v>704</v>
      </c>
      <c r="I34" s="93">
        <f>SUM(J34:L34)</f>
        <v>2033.3</v>
      </c>
      <c r="J34" s="93">
        <v>0</v>
      </c>
      <c r="K34" s="93">
        <v>0</v>
      </c>
      <c r="L34" s="86">
        <v>2033.3</v>
      </c>
    </row>
    <row r="35" spans="1:13" s="52" customFormat="1" ht="38.25">
      <c r="A35" s="49"/>
      <c r="B35" s="29" t="s">
        <v>93</v>
      </c>
      <c r="C35" s="13" t="s">
        <v>91</v>
      </c>
      <c r="D35" s="13" t="s">
        <v>33</v>
      </c>
      <c r="E35" s="33">
        <f>SUM(F35:H35)</f>
        <v>109</v>
      </c>
      <c r="F35" s="33">
        <v>0</v>
      </c>
      <c r="G35" s="248">
        <v>0</v>
      </c>
      <c r="H35" s="32">
        <v>109</v>
      </c>
      <c r="I35" s="93">
        <f>SUM(J35:L35)</f>
        <v>0</v>
      </c>
      <c r="J35" s="93">
        <v>0</v>
      </c>
      <c r="K35" s="93">
        <v>0</v>
      </c>
      <c r="L35" s="86">
        <v>0</v>
      </c>
    </row>
    <row r="36" spans="1:13" s="52" customFormat="1" ht="25.5">
      <c r="A36" s="49"/>
      <c r="B36" s="29" t="s">
        <v>94</v>
      </c>
      <c r="C36" s="13" t="s">
        <v>34</v>
      </c>
      <c r="D36" s="13" t="s">
        <v>33</v>
      </c>
      <c r="E36" s="33">
        <f>SUM(F36:H36)</f>
        <v>387.2</v>
      </c>
      <c r="F36" s="33">
        <v>0</v>
      </c>
      <c r="G36" s="248">
        <v>0</v>
      </c>
      <c r="H36" s="32">
        <v>387.2</v>
      </c>
      <c r="I36" s="93">
        <f>SUM(J36:L36)</f>
        <v>201.06</v>
      </c>
      <c r="J36" s="93">
        <v>0</v>
      </c>
      <c r="K36" s="93">
        <v>0</v>
      </c>
      <c r="L36" s="86">
        <v>201.06</v>
      </c>
      <c r="M36"/>
    </row>
    <row r="37" spans="1:13" s="37" customFormat="1" ht="63">
      <c r="A37" s="3" t="s">
        <v>96</v>
      </c>
      <c r="B37" s="38" t="s">
        <v>95</v>
      </c>
      <c r="C37" s="4" t="s">
        <v>62</v>
      </c>
      <c r="D37" s="4" t="s">
        <v>33</v>
      </c>
      <c r="E37" s="20">
        <v>0</v>
      </c>
      <c r="F37" s="20">
        <v>0</v>
      </c>
      <c r="G37" s="246">
        <v>0</v>
      </c>
      <c r="H37" s="20">
        <v>0</v>
      </c>
      <c r="I37" s="94">
        <v>0</v>
      </c>
      <c r="J37" s="94">
        <v>0</v>
      </c>
      <c r="K37" s="94">
        <v>0</v>
      </c>
      <c r="L37" s="85">
        <v>0</v>
      </c>
    </row>
    <row r="38" spans="1:13" s="37" customFormat="1" ht="110.25">
      <c r="A38" s="3" t="s">
        <v>98</v>
      </c>
      <c r="B38" s="38" t="s">
        <v>97</v>
      </c>
      <c r="C38" s="4" t="s">
        <v>99</v>
      </c>
      <c r="D38" s="4" t="s">
        <v>33</v>
      </c>
      <c r="E38" s="20">
        <f>SUM(E39:E40)</f>
        <v>192</v>
      </c>
      <c r="F38" s="20">
        <v>0</v>
      </c>
      <c r="G38" s="246">
        <f>SUM(G39:G40)</f>
        <v>192</v>
      </c>
      <c r="H38" s="20">
        <v>0</v>
      </c>
      <c r="I38" s="94">
        <v>0</v>
      </c>
      <c r="J38" s="94">
        <v>0</v>
      </c>
      <c r="K38" s="94">
        <v>0</v>
      </c>
      <c r="L38" s="85">
        <v>0</v>
      </c>
    </row>
    <row r="39" spans="1:13" s="18" customFormat="1" ht="51">
      <c r="A39" s="49"/>
      <c r="B39" s="29" t="s">
        <v>100</v>
      </c>
      <c r="C39" s="13" t="s">
        <v>99</v>
      </c>
      <c r="D39" s="13" t="s">
        <v>33</v>
      </c>
      <c r="E39" s="33">
        <f>SUM(F39:H39)</f>
        <v>192</v>
      </c>
      <c r="F39" s="33">
        <v>0</v>
      </c>
      <c r="G39" s="248">
        <v>192</v>
      </c>
      <c r="H39" s="33">
        <v>0</v>
      </c>
      <c r="I39" s="93">
        <v>0</v>
      </c>
      <c r="J39" s="93">
        <v>0</v>
      </c>
      <c r="K39" s="93">
        <v>0</v>
      </c>
      <c r="L39" s="86">
        <v>0</v>
      </c>
    </row>
    <row r="40" spans="1:13" s="18" customFormat="1" ht="51">
      <c r="A40" s="49"/>
      <c r="B40" s="29" t="s">
        <v>101</v>
      </c>
      <c r="C40" s="13" t="s">
        <v>99</v>
      </c>
      <c r="D40" s="13" t="s">
        <v>33</v>
      </c>
      <c r="E40" s="33">
        <f>SUM(F40:H40)</f>
        <v>0</v>
      </c>
      <c r="F40" s="33">
        <v>0</v>
      </c>
      <c r="G40" s="248">
        <v>0</v>
      </c>
      <c r="H40" s="33">
        <v>0</v>
      </c>
      <c r="I40" s="93">
        <v>0</v>
      </c>
      <c r="J40" s="93">
        <v>0</v>
      </c>
      <c r="K40" s="93">
        <v>0</v>
      </c>
      <c r="L40" s="86">
        <v>0</v>
      </c>
    </row>
    <row r="41" spans="1:13" ht="31.5">
      <c r="A41" s="16" t="s">
        <v>103</v>
      </c>
      <c r="B41" s="8" t="s">
        <v>102</v>
      </c>
      <c r="C41" s="4"/>
      <c r="D41" s="26"/>
      <c r="E41" s="24"/>
      <c r="F41" s="24"/>
      <c r="G41" s="250"/>
      <c r="H41" s="24"/>
      <c r="I41" s="110"/>
      <c r="J41" s="110"/>
      <c r="K41" s="110"/>
      <c r="L41" s="92"/>
    </row>
    <row r="42" spans="1:13" s="37" customFormat="1" ht="110.25">
      <c r="A42" s="3" t="s">
        <v>105</v>
      </c>
      <c r="B42" s="38" t="s">
        <v>104</v>
      </c>
      <c r="C42" s="4" t="s">
        <v>99</v>
      </c>
      <c r="D42" s="4" t="s">
        <v>33</v>
      </c>
      <c r="E42" s="39">
        <f t="shared" ref="E42:L42" si="6">SUM(E43:E47)</f>
        <v>10101.969999999999</v>
      </c>
      <c r="F42" s="39">
        <f t="shared" si="6"/>
        <v>0</v>
      </c>
      <c r="G42" s="246">
        <f t="shared" si="6"/>
        <v>711.97</v>
      </c>
      <c r="H42" s="39">
        <f t="shared" si="6"/>
        <v>9390</v>
      </c>
      <c r="I42" s="94">
        <f t="shared" si="6"/>
        <v>2737.07</v>
      </c>
      <c r="J42" s="94">
        <f t="shared" si="6"/>
        <v>913.99</v>
      </c>
      <c r="K42" s="94">
        <f t="shared" si="6"/>
        <v>0</v>
      </c>
      <c r="L42" s="89">
        <f t="shared" si="6"/>
        <v>1823.08</v>
      </c>
    </row>
    <row r="43" spans="1:13" ht="63">
      <c r="A43" s="1" t="s">
        <v>1</v>
      </c>
      <c r="B43" s="5" t="s">
        <v>106</v>
      </c>
      <c r="C43" s="6" t="s">
        <v>59</v>
      </c>
      <c r="D43" s="6" t="s">
        <v>33</v>
      </c>
      <c r="E43" s="23">
        <f t="shared" ref="E43:E48" si="7">SUM(F43:H43)</f>
        <v>711.97</v>
      </c>
      <c r="F43" s="23">
        <v>0</v>
      </c>
      <c r="G43" s="249">
        <v>711.97</v>
      </c>
      <c r="H43" s="23">
        <v>0</v>
      </c>
      <c r="I43" s="95">
        <f>SUM(J43:L43)</f>
        <v>1732.19</v>
      </c>
      <c r="J43" s="95">
        <v>913.99</v>
      </c>
      <c r="K43" s="95">
        <v>0</v>
      </c>
      <c r="L43" s="82">
        <v>818.2</v>
      </c>
    </row>
    <row r="44" spans="1:13" ht="78.75">
      <c r="A44" s="1" t="s">
        <v>0</v>
      </c>
      <c r="B44" s="5" t="s">
        <v>107</v>
      </c>
      <c r="C44" s="6" t="s">
        <v>108</v>
      </c>
      <c r="D44" s="6" t="s">
        <v>33</v>
      </c>
      <c r="E44" s="23">
        <f t="shared" si="7"/>
        <v>0</v>
      </c>
      <c r="F44" s="23">
        <v>0</v>
      </c>
      <c r="G44" s="249">
        <v>0</v>
      </c>
      <c r="H44" s="23">
        <v>0</v>
      </c>
      <c r="I44" s="95">
        <v>0</v>
      </c>
      <c r="J44" s="95">
        <v>0</v>
      </c>
      <c r="K44" s="95">
        <v>0</v>
      </c>
      <c r="L44" s="82">
        <v>0</v>
      </c>
    </row>
    <row r="45" spans="1:13" ht="78.75">
      <c r="A45" s="1" t="s">
        <v>2</v>
      </c>
      <c r="B45" s="5" t="s">
        <v>109</v>
      </c>
      <c r="C45" s="6" t="s">
        <v>99</v>
      </c>
      <c r="D45" s="6" t="s">
        <v>33</v>
      </c>
      <c r="E45" s="23">
        <f t="shared" si="7"/>
        <v>0</v>
      </c>
      <c r="F45" s="23">
        <v>0</v>
      </c>
      <c r="G45" s="249">
        <v>0</v>
      </c>
      <c r="H45" s="23">
        <v>0</v>
      </c>
      <c r="I45" s="95">
        <v>0</v>
      </c>
      <c r="J45" s="95">
        <v>0</v>
      </c>
      <c r="K45" s="95">
        <v>0</v>
      </c>
      <c r="L45" s="82">
        <v>0</v>
      </c>
    </row>
    <row r="46" spans="1:13" ht="126">
      <c r="A46" s="1" t="s">
        <v>3</v>
      </c>
      <c r="B46" s="5" t="s">
        <v>110</v>
      </c>
      <c r="C46" s="6" t="s">
        <v>36</v>
      </c>
      <c r="D46" s="6" t="s">
        <v>33</v>
      </c>
      <c r="E46" s="23">
        <f t="shared" si="7"/>
        <v>9390</v>
      </c>
      <c r="F46" s="23">
        <v>0</v>
      </c>
      <c r="G46" s="249">
        <v>0</v>
      </c>
      <c r="H46" s="22">
        <v>9390</v>
      </c>
      <c r="I46" s="95">
        <f>SUM(J46:L46)</f>
        <v>1004.88</v>
      </c>
      <c r="J46" s="95">
        <v>0</v>
      </c>
      <c r="K46" s="95">
        <v>0</v>
      </c>
      <c r="L46" s="82">
        <v>1004.88</v>
      </c>
    </row>
    <row r="47" spans="1:13" ht="47.25">
      <c r="A47" s="1" t="s">
        <v>4</v>
      </c>
      <c r="B47" s="5" t="s">
        <v>111</v>
      </c>
      <c r="C47" s="6" t="s">
        <v>62</v>
      </c>
      <c r="D47" s="6" t="s">
        <v>33</v>
      </c>
      <c r="E47" s="23">
        <f t="shared" si="7"/>
        <v>0</v>
      </c>
      <c r="F47" s="23">
        <v>0</v>
      </c>
      <c r="G47" s="249">
        <v>0</v>
      </c>
      <c r="H47" s="23">
        <v>0</v>
      </c>
      <c r="I47" s="95">
        <f>SUM(J47:L47)</f>
        <v>0</v>
      </c>
      <c r="J47" s="95">
        <v>0</v>
      </c>
      <c r="K47" s="95">
        <v>0</v>
      </c>
      <c r="L47" s="82">
        <v>0</v>
      </c>
    </row>
    <row r="48" spans="1:13" s="37" customFormat="1" ht="63">
      <c r="A48" s="40" t="s">
        <v>113</v>
      </c>
      <c r="B48" s="41" t="s">
        <v>112</v>
      </c>
      <c r="C48" s="11" t="s">
        <v>59</v>
      </c>
      <c r="D48" s="4" t="s">
        <v>33</v>
      </c>
      <c r="E48" s="39">
        <f t="shared" si="7"/>
        <v>67.8</v>
      </c>
      <c r="F48" s="39">
        <v>0</v>
      </c>
      <c r="G48" s="246">
        <v>67.8</v>
      </c>
      <c r="H48" s="39">
        <v>0</v>
      </c>
      <c r="I48" s="94">
        <f>SUM(J48:L48)</f>
        <v>2587.11</v>
      </c>
      <c r="J48" s="94">
        <v>42.08</v>
      </c>
      <c r="K48" s="94">
        <v>0</v>
      </c>
      <c r="L48" s="89">
        <v>2545.0300000000002</v>
      </c>
    </row>
    <row r="49" spans="1:13" s="37" customFormat="1" ht="94.5">
      <c r="A49" s="40" t="s">
        <v>115</v>
      </c>
      <c r="B49" s="41" t="s">
        <v>114</v>
      </c>
      <c r="C49" s="11" t="s">
        <v>59</v>
      </c>
      <c r="D49" s="4" t="s">
        <v>33</v>
      </c>
      <c r="E49" s="20">
        <f t="shared" ref="E49:L49" si="8">E50+E54+E55</f>
        <v>1736.19</v>
      </c>
      <c r="F49" s="20">
        <f t="shared" si="8"/>
        <v>0</v>
      </c>
      <c r="G49" s="246">
        <f t="shared" si="8"/>
        <v>1736.19</v>
      </c>
      <c r="H49" s="20">
        <f t="shared" si="8"/>
        <v>0</v>
      </c>
      <c r="I49" s="94">
        <f t="shared" si="8"/>
        <v>6189.2900000000009</v>
      </c>
      <c r="J49" s="94">
        <f t="shared" si="8"/>
        <v>2596.4199999999996</v>
      </c>
      <c r="K49" s="94">
        <f t="shared" si="8"/>
        <v>1519.5500000000002</v>
      </c>
      <c r="L49" s="85">
        <f t="shared" si="8"/>
        <v>2073.3200000000002</v>
      </c>
    </row>
    <row r="50" spans="1:13" s="18" customFormat="1" ht="38.25">
      <c r="A50" s="46"/>
      <c r="B50" s="47" t="s">
        <v>116</v>
      </c>
      <c r="C50" s="48" t="s">
        <v>59</v>
      </c>
      <c r="D50" s="13" t="s">
        <v>33</v>
      </c>
      <c r="E50" s="32">
        <f t="shared" ref="E50:L50" si="9">SUM(E51:E53)</f>
        <v>286.10000000000002</v>
      </c>
      <c r="F50" s="32">
        <f t="shared" si="9"/>
        <v>0</v>
      </c>
      <c r="G50" s="251">
        <f t="shared" si="9"/>
        <v>286.10000000000002</v>
      </c>
      <c r="H50" s="32">
        <f t="shared" si="9"/>
        <v>0</v>
      </c>
      <c r="I50" s="93">
        <f t="shared" si="9"/>
        <v>1344.6799999999998</v>
      </c>
      <c r="J50" s="93">
        <f t="shared" si="9"/>
        <v>0</v>
      </c>
      <c r="K50" s="93">
        <f t="shared" si="9"/>
        <v>286.10000000000002</v>
      </c>
      <c r="L50" s="87">
        <f t="shared" si="9"/>
        <v>1058.58</v>
      </c>
      <c r="M50" s="37"/>
    </row>
    <row r="51" spans="1:13" s="18" customFormat="1" ht="25.5">
      <c r="A51" s="46"/>
      <c r="B51" s="47" t="s">
        <v>117</v>
      </c>
      <c r="C51" s="48" t="s">
        <v>59</v>
      </c>
      <c r="D51" s="13" t="s">
        <v>33</v>
      </c>
      <c r="E51" s="45">
        <f>SUM(F51:H51)</f>
        <v>22.66</v>
      </c>
      <c r="F51" s="45">
        <f>SUM(F52:F56)</f>
        <v>0</v>
      </c>
      <c r="G51" s="248">
        <v>22.66</v>
      </c>
      <c r="H51" s="45">
        <f>SUM(H52:H56)</f>
        <v>0</v>
      </c>
      <c r="I51" s="93">
        <f t="shared" ref="I51:I62" si="10">SUM(J51:L51)</f>
        <v>1081.24</v>
      </c>
      <c r="J51" s="93">
        <v>0</v>
      </c>
      <c r="K51" s="93">
        <v>22.66</v>
      </c>
      <c r="L51" s="93">
        <v>1058.58</v>
      </c>
      <c r="M51" s="37"/>
    </row>
    <row r="52" spans="1:13" s="18" customFormat="1" ht="25.5">
      <c r="A52" s="46"/>
      <c r="B52" s="47" t="s">
        <v>118</v>
      </c>
      <c r="C52" s="48" t="s">
        <v>59</v>
      </c>
      <c r="D52" s="13" t="s">
        <v>33</v>
      </c>
      <c r="E52" s="45">
        <f>SUM(F52:H52)</f>
        <v>11.33</v>
      </c>
      <c r="F52" s="45">
        <f>SUM(F53:F57)</f>
        <v>0</v>
      </c>
      <c r="G52" s="248">
        <v>11.33</v>
      </c>
      <c r="H52" s="45">
        <f>SUM(H53:H57)</f>
        <v>0</v>
      </c>
      <c r="I52" s="93">
        <f t="shared" si="10"/>
        <v>11.33</v>
      </c>
      <c r="J52" s="93">
        <v>0</v>
      </c>
      <c r="K52" s="93">
        <v>11.33</v>
      </c>
      <c r="L52" s="93">
        <v>0</v>
      </c>
      <c r="M52" s="37"/>
    </row>
    <row r="53" spans="1:13" s="18" customFormat="1" ht="25.5">
      <c r="A53" s="46"/>
      <c r="B53" s="47" t="s">
        <v>119</v>
      </c>
      <c r="C53" s="48" t="s">
        <v>59</v>
      </c>
      <c r="D53" s="13" t="s">
        <v>33</v>
      </c>
      <c r="E53" s="45">
        <f>SUM(F53:H53)</f>
        <v>252.11</v>
      </c>
      <c r="F53" s="45">
        <f>SUM(F54:F58)</f>
        <v>0</v>
      </c>
      <c r="G53" s="248">
        <v>252.11</v>
      </c>
      <c r="H53" s="45">
        <f>SUM(H54:H58)</f>
        <v>0</v>
      </c>
      <c r="I53" s="93">
        <f t="shared" si="10"/>
        <v>252.11</v>
      </c>
      <c r="J53" s="93"/>
      <c r="K53" s="93">
        <v>252.11</v>
      </c>
      <c r="L53" s="93">
        <v>0</v>
      </c>
    </row>
    <row r="54" spans="1:13" s="18" customFormat="1" ht="25.5">
      <c r="A54" s="46"/>
      <c r="B54" s="47" t="s">
        <v>120</v>
      </c>
      <c r="C54" s="48" t="s">
        <v>59</v>
      </c>
      <c r="D54" s="13" t="s">
        <v>33</v>
      </c>
      <c r="E54" s="45">
        <f>SUM(F54:H54)</f>
        <v>1080.55</v>
      </c>
      <c r="F54" s="45">
        <f>SUM(F55:F59)</f>
        <v>0</v>
      </c>
      <c r="G54" s="248">
        <v>1080.55</v>
      </c>
      <c r="H54" s="45">
        <f>SUM(H55:H59)</f>
        <v>0</v>
      </c>
      <c r="I54" s="93">
        <f t="shared" si="10"/>
        <v>4553.9400000000005</v>
      </c>
      <c r="J54" s="93">
        <v>2510.1999999999998</v>
      </c>
      <c r="K54" s="93">
        <v>1080.55</v>
      </c>
      <c r="L54" s="93">
        <v>963.19</v>
      </c>
    </row>
    <row r="55" spans="1:13" s="18" customFormat="1" ht="25.5">
      <c r="A55" s="46"/>
      <c r="B55" s="47" t="s">
        <v>121</v>
      </c>
      <c r="C55" s="48" t="s">
        <v>59</v>
      </c>
      <c r="D55" s="13" t="s">
        <v>33</v>
      </c>
      <c r="E55" s="45">
        <f>SUM(F55:H55)</f>
        <v>369.54</v>
      </c>
      <c r="F55" s="45">
        <f>SUM(F56:F60)</f>
        <v>0</v>
      </c>
      <c r="G55" s="248">
        <v>369.54</v>
      </c>
      <c r="H55" s="45">
        <f>SUM(H56:H60)</f>
        <v>0</v>
      </c>
      <c r="I55" s="93">
        <f t="shared" si="10"/>
        <v>290.67</v>
      </c>
      <c r="J55" s="93">
        <v>86.22</v>
      </c>
      <c r="K55" s="93">
        <v>152.9</v>
      </c>
      <c r="L55" s="93">
        <v>51.55</v>
      </c>
    </row>
    <row r="56" spans="1:13" s="37" customFormat="1" ht="47.25">
      <c r="A56" s="40" t="s">
        <v>122</v>
      </c>
      <c r="B56" s="41" t="s">
        <v>123</v>
      </c>
      <c r="C56" s="11" t="s">
        <v>59</v>
      </c>
      <c r="D56" s="4" t="s">
        <v>33</v>
      </c>
      <c r="E56" s="56">
        <f t="shared" ref="E56:K56" si="11">SUM(E57,E62)</f>
        <v>784.97</v>
      </c>
      <c r="F56" s="56">
        <f t="shared" si="11"/>
        <v>0</v>
      </c>
      <c r="G56" s="246">
        <f t="shared" si="11"/>
        <v>784.97</v>
      </c>
      <c r="H56" s="56">
        <f t="shared" si="11"/>
        <v>0</v>
      </c>
      <c r="I56" s="94">
        <f t="shared" si="10"/>
        <v>3078.3110899999997</v>
      </c>
      <c r="J56" s="94">
        <f t="shared" si="11"/>
        <v>0</v>
      </c>
      <c r="K56" s="94">
        <f t="shared" si="11"/>
        <v>0</v>
      </c>
      <c r="L56" s="94">
        <f>L57+L62</f>
        <v>3078.3110899999997</v>
      </c>
    </row>
    <row r="57" spans="1:13" ht="25.5">
      <c r="A57" s="14"/>
      <c r="B57" s="47" t="s">
        <v>183</v>
      </c>
      <c r="C57" s="48" t="s">
        <v>59</v>
      </c>
      <c r="D57" s="13" t="s">
        <v>33</v>
      </c>
      <c r="E57" s="57">
        <f t="shared" ref="E57:K57" si="12">SUM(E58:E61)</f>
        <v>88.5</v>
      </c>
      <c r="F57" s="57">
        <f t="shared" si="12"/>
        <v>0</v>
      </c>
      <c r="G57" s="249">
        <f t="shared" si="12"/>
        <v>88.5</v>
      </c>
      <c r="H57" s="57">
        <f t="shared" si="12"/>
        <v>0</v>
      </c>
      <c r="I57" s="95">
        <f t="shared" si="10"/>
        <v>355.2</v>
      </c>
      <c r="J57" s="95">
        <f t="shared" si="12"/>
        <v>0</v>
      </c>
      <c r="K57" s="95">
        <f t="shared" si="12"/>
        <v>0</v>
      </c>
      <c r="L57" s="95">
        <v>355.2</v>
      </c>
    </row>
    <row r="58" spans="1:13" ht="25.5">
      <c r="A58" s="14"/>
      <c r="B58" s="47" t="s">
        <v>124</v>
      </c>
      <c r="C58" s="48" t="s">
        <v>59</v>
      </c>
      <c r="D58" s="13" t="s">
        <v>33</v>
      </c>
      <c r="E58" s="57">
        <f t="shared" ref="E58:E63" si="13">SUM(F58:H58)</f>
        <v>0</v>
      </c>
      <c r="F58" s="57">
        <v>0</v>
      </c>
      <c r="G58" s="249"/>
      <c r="H58" s="57">
        <v>0</v>
      </c>
      <c r="I58" s="95">
        <f t="shared" si="10"/>
        <v>0</v>
      </c>
      <c r="J58" s="95">
        <v>0</v>
      </c>
      <c r="K58" s="95">
        <v>0</v>
      </c>
      <c r="L58" s="95">
        <v>0</v>
      </c>
    </row>
    <row r="59" spans="1:13" ht="25.5">
      <c r="A59" s="14"/>
      <c r="B59" s="47" t="s">
        <v>125</v>
      </c>
      <c r="C59" s="48" t="s">
        <v>59</v>
      </c>
      <c r="D59" s="13" t="s">
        <v>33</v>
      </c>
      <c r="E59" s="57">
        <f t="shared" si="13"/>
        <v>0</v>
      </c>
      <c r="F59" s="57">
        <v>0</v>
      </c>
      <c r="G59" s="249"/>
      <c r="H59" s="57">
        <v>0</v>
      </c>
      <c r="I59" s="95">
        <f t="shared" si="10"/>
        <v>0</v>
      </c>
      <c r="J59" s="95">
        <v>0</v>
      </c>
      <c r="K59" s="95">
        <v>0</v>
      </c>
      <c r="L59" s="95">
        <v>0</v>
      </c>
    </row>
    <row r="60" spans="1:13" ht="25.5">
      <c r="A60" s="14"/>
      <c r="B60" s="47" t="s">
        <v>126</v>
      </c>
      <c r="C60" s="48" t="s">
        <v>59</v>
      </c>
      <c r="D60" s="13" t="s">
        <v>33</v>
      </c>
      <c r="E60" s="57">
        <f t="shared" si="13"/>
        <v>40.5</v>
      </c>
      <c r="F60" s="57">
        <v>0</v>
      </c>
      <c r="G60" s="249">
        <v>40.5</v>
      </c>
      <c r="H60" s="57">
        <v>0</v>
      </c>
      <c r="I60" s="95">
        <f t="shared" si="10"/>
        <v>0</v>
      </c>
      <c r="J60" s="95">
        <v>0</v>
      </c>
      <c r="K60" s="95">
        <v>0</v>
      </c>
      <c r="L60" s="95">
        <v>0</v>
      </c>
    </row>
    <row r="61" spans="1:13" ht="25.5">
      <c r="A61" s="14"/>
      <c r="B61" s="47" t="s">
        <v>127</v>
      </c>
      <c r="C61" s="48" t="s">
        <v>59</v>
      </c>
      <c r="D61" s="13" t="s">
        <v>33</v>
      </c>
      <c r="E61" s="57">
        <f t="shared" si="13"/>
        <v>48</v>
      </c>
      <c r="F61" s="57">
        <v>0</v>
      </c>
      <c r="G61" s="249">
        <v>48</v>
      </c>
      <c r="H61" s="57">
        <v>0</v>
      </c>
      <c r="I61" s="95">
        <f t="shared" si="10"/>
        <v>0</v>
      </c>
      <c r="J61" s="95">
        <v>0</v>
      </c>
      <c r="K61" s="95">
        <v>0</v>
      </c>
      <c r="L61" s="95">
        <v>0</v>
      </c>
    </row>
    <row r="62" spans="1:13" ht="25.5">
      <c r="A62" s="14"/>
      <c r="B62" s="47" t="s">
        <v>128</v>
      </c>
      <c r="C62" s="48" t="s">
        <v>59</v>
      </c>
      <c r="D62" s="13" t="s">
        <v>33</v>
      </c>
      <c r="E62" s="57">
        <f t="shared" si="13"/>
        <v>696.47</v>
      </c>
      <c r="F62" s="22">
        <v>0</v>
      </c>
      <c r="G62" s="249">
        <v>696.47</v>
      </c>
      <c r="H62" s="22">
        <v>0</v>
      </c>
      <c r="I62" s="95">
        <f t="shared" si="10"/>
        <v>2723.1110899999999</v>
      </c>
      <c r="J62" s="95">
        <v>0</v>
      </c>
      <c r="K62" s="95">
        <v>0</v>
      </c>
      <c r="L62" s="91">
        <v>2723.1110899999999</v>
      </c>
    </row>
    <row r="63" spans="1:13" s="37" customFormat="1" ht="94.5">
      <c r="A63" s="40" t="s">
        <v>130</v>
      </c>
      <c r="B63" s="41" t="s">
        <v>129</v>
      </c>
      <c r="C63" s="11" t="s">
        <v>59</v>
      </c>
      <c r="D63" s="4" t="s">
        <v>33</v>
      </c>
      <c r="E63" s="39">
        <f t="shared" si="13"/>
        <v>225</v>
      </c>
      <c r="F63" s="39">
        <v>0</v>
      </c>
      <c r="G63" s="246">
        <v>0</v>
      </c>
      <c r="H63" s="39">
        <v>225</v>
      </c>
      <c r="I63" s="94">
        <v>0</v>
      </c>
      <c r="J63" s="94">
        <v>0</v>
      </c>
      <c r="K63" s="94">
        <v>0</v>
      </c>
      <c r="L63" s="89">
        <v>0</v>
      </c>
    </row>
    <row r="64" spans="1:13" ht="31.5">
      <c r="A64" s="15" t="s">
        <v>132</v>
      </c>
      <c r="B64" s="10" t="s">
        <v>131</v>
      </c>
      <c r="C64" s="9" t="s">
        <v>59</v>
      </c>
      <c r="D64" s="6" t="s">
        <v>33</v>
      </c>
      <c r="E64" s="21"/>
      <c r="F64" s="21"/>
      <c r="G64" s="250"/>
      <c r="H64" s="21"/>
      <c r="I64" s="110"/>
      <c r="J64" s="110"/>
      <c r="K64" s="110"/>
      <c r="L64" s="96"/>
    </row>
    <row r="65" spans="1:12" s="37" customFormat="1" ht="78.75">
      <c r="A65" s="40" t="s">
        <v>135</v>
      </c>
      <c r="B65" s="41" t="s">
        <v>133</v>
      </c>
      <c r="C65" s="11" t="s">
        <v>99</v>
      </c>
      <c r="D65" s="4" t="s">
        <v>33</v>
      </c>
      <c r="E65" s="39">
        <f t="shared" ref="E65:L65" si="14">SUM(E66:E69)</f>
        <v>153151.63</v>
      </c>
      <c r="F65" s="39">
        <f t="shared" si="14"/>
        <v>58704</v>
      </c>
      <c r="G65" s="246">
        <f t="shared" si="14"/>
        <v>0</v>
      </c>
      <c r="H65" s="39">
        <f t="shared" si="14"/>
        <v>94447.63</v>
      </c>
      <c r="I65" s="94">
        <f t="shared" si="14"/>
        <v>55769.11</v>
      </c>
      <c r="J65" s="94">
        <f t="shared" si="14"/>
        <v>17822.3</v>
      </c>
      <c r="K65" s="94">
        <f t="shared" si="14"/>
        <v>0</v>
      </c>
      <c r="L65" s="89">
        <f t="shared" si="14"/>
        <v>37946.81</v>
      </c>
    </row>
    <row r="66" spans="1:12" s="18" customFormat="1" ht="88.5" customHeight="1">
      <c r="A66" s="46"/>
      <c r="B66" s="47" t="s">
        <v>134</v>
      </c>
      <c r="C66" s="48" t="s">
        <v>59</v>
      </c>
      <c r="D66" s="13" t="s">
        <v>33</v>
      </c>
      <c r="E66" s="32">
        <f>SUM(F66:H66)</f>
        <v>152448</v>
      </c>
      <c r="F66" s="32">
        <v>58704</v>
      </c>
      <c r="G66" s="248">
        <v>0</v>
      </c>
      <c r="H66" s="32">
        <v>93744</v>
      </c>
      <c r="I66" s="93">
        <f>SUM(J66:L66)</f>
        <v>55769.11</v>
      </c>
      <c r="J66" s="93">
        <v>17822.3</v>
      </c>
      <c r="K66" s="93">
        <v>0</v>
      </c>
      <c r="L66" s="87">
        <v>37946.81</v>
      </c>
    </row>
    <row r="67" spans="1:12" s="18" customFormat="1" ht="51">
      <c r="A67" s="49"/>
      <c r="B67" s="29" t="s">
        <v>136</v>
      </c>
      <c r="C67" s="13" t="s">
        <v>99</v>
      </c>
      <c r="D67" s="13" t="s">
        <v>33</v>
      </c>
      <c r="E67" s="32">
        <f>SUM(F67:H67)</f>
        <v>0</v>
      </c>
      <c r="F67" s="33">
        <v>0</v>
      </c>
      <c r="G67" s="248">
        <v>0</v>
      </c>
      <c r="H67" s="33">
        <v>0</v>
      </c>
      <c r="I67" s="93">
        <f>SUM(J67:L67)</f>
        <v>0</v>
      </c>
      <c r="J67" s="93">
        <v>0</v>
      </c>
      <c r="K67" s="93">
        <v>0</v>
      </c>
      <c r="L67" s="86">
        <v>0</v>
      </c>
    </row>
    <row r="68" spans="1:12" s="18" customFormat="1" ht="51">
      <c r="A68" s="34"/>
      <c r="B68" s="29" t="s">
        <v>137</v>
      </c>
      <c r="C68" s="13" t="s">
        <v>99</v>
      </c>
      <c r="D68" s="13" t="s">
        <v>33</v>
      </c>
      <c r="E68" s="32">
        <f>SUM(F68:H68)</f>
        <v>0</v>
      </c>
      <c r="F68" s="33">
        <v>0</v>
      </c>
      <c r="G68" s="248">
        <v>0</v>
      </c>
      <c r="H68" s="33">
        <v>0</v>
      </c>
      <c r="I68" s="93">
        <f>SUM(J68:L68)</f>
        <v>0</v>
      </c>
      <c r="J68" s="93">
        <v>0</v>
      </c>
      <c r="K68" s="93">
        <v>0</v>
      </c>
      <c r="L68" s="86">
        <v>0</v>
      </c>
    </row>
    <row r="69" spans="1:12" s="18" customFormat="1" ht="102">
      <c r="A69" s="46"/>
      <c r="B69" s="47" t="s">
        <v>138</v>
      </c>
      <c r="C69" s="48" t="s">
        <v>99</v>
      </c>
      <c r="D69" s="13" t="s">
        <v>33</v>
      </c>
      <c r="E69" s="32">
        <f>SUM(F69:H69)</f>
        <v>703.63</v>
      </c>
      <c r="F69" s="32">
        <v>0</v>
      </c>
      <c r="G69" s="248">
        <v>0</v>
      </c>
      <c r="H69" s="32">
        <v>703.63</v>
      </c>
      <c r="I69" s="93">
        <f>SUM(J69:L69)</f>
        <v>0</v>
      </c>
      <c r="J69" s="93">
        <v>0</v>
      </c>
      <c r="K69" s="93">
        <v>0</v>
      </c>
      <c r="L69" s="87">
        <v>0</v>
      </c>
    </row>
    <row r="70" spans="1:12" s="37" customFormat="1" ht="78.75">
      <c r="A70" s="40" t="s">
        <v>140</v>
      </c>
      <c r="B70" s="41" t="s">
        <v>139</v>
      </c>
      <c r="C70" s="11" t="s">
        <v>99</v>
      </c>
      <c r="D70" s="4" t="s">
        <v>33</v>
      </c>
      <c r="E70" s="60">
        <f t="shared" ref="E70:L70" si="15">E71</f>
        <v>500</v>
      </c>
      <c r="F70" s="39">
        <f t="shared" si="15"/>
        <v>0</v>
      </c>
      <c r="G70" s="246">
        <f t="shared" si="15"/>
        <v>150</v>
      </c>
      <c r="H70" s="39">
        <f t="shared" si="15"/>
        <v>350</v>
      </c>
      <c r="I70" s="94">
        <f t="shared" si="15"/>
        <v>0</v>
      </c>
      <c r="J70" s="94">
        <f t="shared" si="15"/>
        <v>0</v>
      </c>
      <c r="K70" s="94">
        <f t="shared" si="15"/>
        <v>0</v>
      </c>
      <c r="L70" s="89">
        <f t="shared" si="15"/>
        <v>0</v>
      </c>
    </row>
    <row r="71" spans="1:12" s="18" customFormat="1" ht="76.5">
      <c r="A71" s="46"/>
      <c r="B71" s="47" t="s">
        <v>141</v>
      </c>
      <c r="C71" s="48" t="s">
        <v>99</v>
      </c>
      <c r="D71" s="13" t="s">
        <v>33</v>
      </c>
      <c r="E71" s="32">
        <f>SUM(F71:H71)</f>
        <v>500</v>
      </c>
      <c r="F71" s="32">
        <v>0</v>
      </c>
      <c r="G71" s="248">
        <v>150</v>
      </c>
      <c r="H71" s="32">
        <v>350</v>
      </c>
      <c r="I71" s="93">
        <f>SUM(J71:L71)</f>
        <v>0</v>
      </c>
      <c r="J71" s="93">
        <v>0</v>
      </c>
      <c r="K71" s="93">
        <v>0</v>
      </c>
      <c r="L71" s="87">
        <v>0</v>
      </c>
    </row>
    <row r="72" spans="1:12" s="37" customFormat="1" ht="78.75">
      <c r="A72" s="40" t="s">
        <v>143</v>
      </c>
      <c r="B72" s="41" t="s">
        <v>142</v>
      </c>
      <c r="C72" s="11" t="s">
        <v>99</v>
      </c>
      <c r="D72" s="4" t="s">
        <v>33</v>
      </c>
      <c r="E72" s="39">
        <f t="shared" ref="E72:L72" si="16">SUM(E73:E75)</f>
        <v>403.75</v>
      </c>
      <c r="F72" s="39">
        <f t="shared" si="16"/>
        <v>0</v>
      </c>
      <c r="G72" s="246">
        <f t="shared" si="16"/>
        <v>0</v>
      </c>
      <c r="H72" s="39">
        <f t="shared" si="16"/>
        <v>403.75</v>
      </c>
      <c r="I72" s="94">
        <f t="shared" si="16"/>
        <v>0</v>
      </c>
      <c r="J72" s="94">
        <f t="shared" si="16"/>
        <v>0</v>
      </c>
      <c r="K72" s="94">
        <f t="shared" si="16"/>
        <v>0</v>
      </c>
      <c r="L72" s="89">
        <f t="shared" si="16"/>
        <v>0</v>
      </c>
    </row>
    <row r="73" spans="1:12" s="18" customFormat="1" ht="51">
      <c r="A73" s="46"/>
      <c r="B73" s="47" t="s">
        <v>144</v>
      </c>
      <c r="C73" s="48" t="s">
        <v>99</v>
      </c>
      <c r="D73" s="13" t="s">
        <v>33</v>
      </c>
      <c r="E73" s="32">
        <f>SUM(F73:H73)</f>
        <v>135</v>
      </c>
      <c r="F73" s="32">
        <v>0</v>
      </c>
      <c r="G73" s="248">
        <v>0</v>
      </c>
      <c r="H73" s="32">
        <v>135</v>
      </c>
      <c r="I73" s="93">
        <f>SUM(J73:L73)</f>
        <v>0</v>
      </c>
      <c r="J73" s="93">
        <v>0</v>
      </c>
      <c r="K73" s="93">
        <v>0</v>
      </c>
      <c r="L73" s="87">
        <v>0</v>
      </c>
    </row>
    <row r="74" spans="1:12" s="18" customFormat="1" ht="51">
      <c r="A74" s="46"/>
      <c r="B74" s="47" t="s">
        <v>145</v>
      </c>
      <c r="C74" s="48" t="s">
        <v>99</v>
      </c>
      <c r="D74" s="13" t="s">
        <v>33</v>
      </c>
      <c r="E74" s="32">
        <f>SUM(F74:H74)</f>
        <v>178.75</v>
      </c>
      <c r="F74" s="32">
        <v>0</v>
      </c>
      <c r="G74" s="248">
        <v>0</v>
      </c>
      <c r="H74" s="32">
        <v>178.75</v>
      </c>
      <c r="I74" s="93">
        <f>SUM(J74:L74)</f>
        <v>0</v>
      </c>
      <c r="J74" s="93">
        <v>0</v>
      </c>
      <c r="K74" s="93">
        <v>0</v>
      </c>
      <c r="L74" s="87">
        <v>0</v>
      </c>
    </row>
    <row r="75" spans="1:12" s="18" customFormat="1" ht="51">
      <c r="A75" s="34"/>
      <c r="B75" s="47" t="s">
        <v>146</v>
      </c>
      <c r="C75" s="48" t="s">
        <v>99</v>
      </c>
      <c r="D75" s="13" t="s">
        <v>33</v>
      </c>
      <c r="E75" s="32">
        <f>SUM(F75:H75)</f>
        <v>90</v>
      </c>
      <c r="F75" s="32">
        <v>0</v>
      </c>
      <c r="G75" s="248">
        <v>0</v>
      </c>
      <c r="H75" s="32">
        <v>90</v>
      </c>
      <c r="I75" s="93">
        <f>SUM(J75:L75)</f>
        <v>0</v>
      </c>
      <c r="J75" s="93">
        <v>0</v>
      </c>
      <c r="K75" s="93">
        <v>0</v>
      </c>
      <c r="L75" s="87">
        <v>0</v>
      </c>
    </row>
    <row r="76" spans="1:12" s="37" customFormat="1" ht="94.5">
      <c r="A76" s="3" t="s">
        <v>148</v>
      </c>
      <c r="B76" s="38" t="s">
        <v>147</v>
      </c>
      <c r="C76" s="4" t="s">
        <v>62</v>
      </c>
      <c r="D76" s="4" t="s">
        <v>33</v>
      </c>
      <c r="E76" s="20">
        <v>0</v>
      </c>
      <c r="F76" s="20">
        <v>0</v>
      </c>
      <c r="G76" s="246">
        <v>0</v>
      </c>
      <c r="H76" s="20">
        <v>0</v>
      </c>
      <c r="I76" s="94">
        <v>0</v>
      </c>
      <c r="J76" s="94">
        <v>0</v>
      </c>
      <c r="K76" s="94">
        <v>0</v>
      </c>
      <c r="L76" s="85">
        <v>0</v>
      </c>
    </row>
    <row r="77" spans="1:12" s="37" customFormat="1" ht="63">
      <c r="A77" s="3" t="s">
        <v>150</v>
      </c>
      <c r="B77" s="38" t="s">
        <v>149</v>
      </c>
      <c r="C77" s="4" t="s">
        <v>62</v>
      </c>
      <c r="D77" s="4" t="s">
        <v>33</v>
      </c>
      <c r="E77" s="20">
        <v>0</v>
      </c>
      <c r="F77" s="20">
        <v>0</v>
      </c>
      <c r="G77" s="246">
        <v>0</v>
      </c>
      <c r="H77" s="20">
        <v>0</v>
      </c>
      <c r="I77" s="94">
        <v>0</v>
      </c>
      <c r="J77" s="94">
        <v>0</v>
      </c>
      <c r="K77" s="94">
        <v>0</v>
      </c>
      <c r="L77" s="85">
        <v>0</v>
      </c>
    </row>
    <row r="78" spans="1:12" s="37" customFormat="1" ht="110.25">
      <c r="A78" s="40" t="s">
        <v>152</v>
      </c>
      <c r="B78" s="41" t="s">
        <v>151</v>
      </c>
      <c r="C78" s="11" t="s">
        <v>153</v>
      </c>
      <c r="D78" s="11">
        <v>2017</v>
      </c>
      <c r="E78" s="39">
        <f>SUM(F78:H78)</f>
        <v>4522.8100000000004</v>
      </c>
      <c r="F78" s="39">
        <v>0</v>
      </c>
      <c r="G78" s="246">
        <v>181.81</v>
      </c>
      <c r="H78" s="39">
        <v>4341</v>
      </c>
      <c r="I78" s="94">
        <f>SUM(J78:L78)</f>
        <v>6604.66</v>
      </c>
      <c r="J78" s="94">
        <v>0</v>
      </c>
      <c r="K78" s="94">
        <v>0</v>
      </c>
      <c r="L78" s="89">
        <v>6604.66</v>
      </c>
    </row>
    <row r="79" spans="1:12" s="54" customFormat="1" ht="63">
      <c r="A79" s="16" t="s">
        <v>155</v>
      </c>
      <c r="B79" s="8" t="s">
        <v>154</v>
      </c>
      <c r="C79" s="53"/>
      <c r="D79" s="53"/>
      <c r="E79" s="42"/>
      <c r="F79" s="42"/>
      <c r="G79" s="252"/>
      <c r="H79" s="42"/>
      <c r="I79" s="111"/>
      <c r="J79" s="111"/>
      <c r="K79" s="111"/>
      <c r="L79" s="97"/>
    </row>
    <row r="80" spans="1:12" s="37" customFormat="1" ht="47.25">
      <c r="A80" s="40" t="s">
        <v>157</v>
      </c>
      <c r="B80" s="41" t="s">
        <v>156</v>
      </c>
      <c r="C80" s="55" t="s">
        <v>59</v>
      </c>
      <c r="D80" s="55" t="s">
        <v>33</v>
      </c>
      <c r="E80" s="56">
        <f>SUM(F80:H80)</f>
        <v>31680.719999999998</v>
      </c>
      <c r="F80" s="56">
        <v>24661.1</v>
      </c>
      <c r="G80" s="246">
        <v>7019.62</v>
      </c>
      <c r="H80" s="56">
        <v>0</v>
      </c>
      <c r="I80" s="94">
        <f>SUM(J80:L80)</f>
        <v>7607.8799999999992</v>
      </c>
      <c r="J80" s="94">
        <v>3209.85</v>
      </c>
      <c r="K80" s="94">
        <v>0</v>
      </c>
      <c r="L80" s="94">
        <v>4398.03</v>
      </c>
    </row>
    <row r="81" spans="1:12" s="37" customFormat="1" ht="141.75">
      <c r="A81" s="3" t="s">
        <v>159</v>
      </c>
      <c r="B81" s="38" t="s">
        <v>158</v>
      </c>
      <c r="C81" s="4" t="s">
        <v>153</v>
      </c>
      <c r="D81" s="4" t="s">
        <v>33</v>
      </c>
      <c r="E81" s="39">
        <f>SUM(F81:H81)</f>
        <v>0</v>
      </c>
      <c r="F81" s="20">
        <v>0</v>
      </c>
      <c r="G81" s="246">
        <v>0</v>
      </c>
      <c r="H81" s="20">
        <v>0</v>
      </c>
      <c r="I81" s="94">
        <v>0</v>
      </c>
      <c r="J81" s="94">
        <v>0</v>
      </c>
      <c r="K81" s="94">
        <v>0</v>
      </c>
      <c r="L81" s="85">
        <v>0</v>
      </c>
    </row>
    <row r="82" spans="1:12" s="37" customFormat="1" ht="110.25">
      <c r="A82" s="40" t="s">
        <v>161</v>
      </c>
      <c r="B82" s="41" t="s">
        <v>160</v>
      </c>
      <c r="C82" s="11" t="s">
        <v>62</v>
      </c>
      <c r="D82" s="4" t="s">
        <v>33</v>
      </c>
      <c r="E82" s="39">
        <f>SUM(F82:H82)</f>
        <v>288</v>
      </c>
      <c r="F82" s="20">
        <v>0</v>
      </c>
      <c r="G82" s="246">
        <v>0</v>
      </c>
      <c r="H82" s="39">
        <v>288</v>
      </c>
      <c r="I82" s="94">
        <f>SUM(J82:L82)</f>
        <v>0</v>
      </c>
      <c r="J82" s="94">
        <v>0</v>
      </c>
      <c r="K82" s="94">
        <v>0</v>
      </c>
      <c r="L82" s="89">
        <v>0</v>
      </c>
    </row>
    <row r="83" spans="1:12" s="54" customFormat="1" ht="47.25">
      <c r="A83" s="16" t="s">
        <v>163</v>
      </c>
      <c r="B83" s="8" t="s">
        <v>162</v>
      </c>
      <c r="C83" s="53"/>
      <c r="D83" s="53"/>
      <c r="E83" s="42"/>
      <c r="F83" s="42"/>
      <c r="G83" s="252"/>
      <c r="H83" s="42"/>
      <c r="I83" s="111"/>
      <c r="J83" s="111"/>
      <c r="K83" s="111"/>
      <c r="L83" s="97"/>
    </row>
    <row r="84" spans="1:12" s="37" customFormat="1" ht="63">
      <c r="A84" s="3" t="s">
        <v>165</v>
      </c>
      <c r="B84" s="38" t="s">
        <v>164</v>
      </c>
      <c r="C84" s="4" t="s">
        <v>166</v>
      </c>
      <c r="D84" s="4" t="s">
        <v>33</v>
      </c>
      <c r="E84" s="20">
        <v>0</v>
      </c>
      <c r="F84" s="20">
        <v>0</v>
      </c>
      <c r="G84" s="246">
        <v>0</v>
      </c>
      <c r="H84" s="20">
        <v>0</v>
      </c>
      <c r="I84" s="94">
        <v>0</v>
      </c>
      <c r="J84" s="94">
        <v>0</v>
      </c>
      <c r="K84" s="94">
        <v>0</v>
      </c>
      <c r="L84" s="85">
        <v>0</v>
      </c>
    </row>
    <row r="85" spans="1:12" s="37" customFormat="1" ht="94.5">
      <c r="A85" s="3" t="s">
        <v>168</v>
      </c>
      <c r="B85" s="38" t="s">
        <v>167</v>
      </c>
      <c r="C85" s="4" t="s">
        <v>62</v>
      </c>
      <c r="D85" s="4" t="s">
        <v>33</v>
      </c>
      <c r="E85" s="20">
        <v>0</v>
      </c>
      <c r="F85" s="20">
        <v>0</v>
      </c>
      <c r="G85" s="246">
        <v>0</v>
      </c>
      <c r="H85" s="20">
        <v>0</v>
      </c>
      <c r="I85" s="94">
        <v>0</v>
      </c>
      <c r="J85" s="94">
        <v>0</v>
      </c>
      <c r="K85" s="94">
        <v>0</v>
      </c>
      <c r="L85" s="85">
        <v>0</v>
      </c>
    </row>
    <row r="86" spans="1:12" s="52" customFormat="1" ht="38.25">
      <c r="A86" s="49"/>
      <c r="B86" s="29" t="s">
        <v>169</v>
      </c>
      <c r="C86" s="13" t="s">
        <v>62</v>
      </c>
      <c r="D86" s="13" t="s">
        <v>33</v>
      </c>
      <c r="E86" s="33">
        <v>0</v>
      </c>
      <c r="F86" s="33">
        <v>0</v>
      </c>
      <c r="G86" s="248">
        <v>0</v>
      </c>
      <c r="H86" s="33">
        <v>0</v>
      </c>
      <c r="I86" s="93">
        <v>0</v>
      </c>
      <c r="J86" s="93">
        <v>0</v>
      </c>
      <c r="K86" s="93">
        <v>0</v>
      </c>
      <c r="L86" s="86">
        <v>0</v>
      </c>
    </row>
    <row r="87" spans="1:12" s="52" customFormat="1" ht="25.5">
      <c r="A87" s="49"/>
      <c r="B87" s="29" t="s">
        <v>170</v>
      </c>
      <c r="C87" s="13" t="s">
        <v>62</v>
      </c>
      <c r="D87" s="13" t="s">
        <v>33</v>
      </c>
      <c r="E87" s="33">
        <v>0</v>
      </c>
      <c r="F87" s="33">
        <v>0</v>
      </c>
      <c r="G87" s="248">
        <v>0</v>
      </c>
      <c r="H87" s="33">
        <v>0</v>
      </c>
      <c r="I87" s="93">
        <v>0</v>
      </c>
      <c r="J87" s="93">
        <v>0</v>
      </c>
      <c r="K87" s="93">
        <v>0</v>
      </c>
      <c r="L87" s="86">
        <v>0</v>
      </c>
    </row>
    <row r="88" spans="1:12" s="52" customFormat="1" ht="38.25">
      <c r="A88" s="49"/>
      <c r="B88" s="29" t="s">
        <v>171</v>
      </c>
      <c r="C88" s="13" t="s">
        <v>62</v>
      </c>
      <c r="D88" s="13" t="s">
        <v>33</v>
      </c>
      <c r="E88" s="33">
        <v>0</v>
      </c>
      <c r="F88" s="33">
        <v>0</v>
      </c>
      <c r="G88" s="248">
        <v>0</v>
      </c>
      <c r="H88" s="33">
        <v>0</v>
      </c>
      <c r="I88" s="93">
        <v>0</v>
      </c>
      <c r="J88" s="93">
        <v>0</v>
      </c>
      <c r="K88" s="93">
        <v>0</v>
      </c>
      <c r="L88" s="86">
        <v>0</v>
      </c>
    </row>
    <row r="89" spans="1:12" s="52" customFormat="1" ht="51">
      <c r="A89" s="49"/>
      <c r="B89" s="29" t="s">
        <v>172</v>
      </c>
      <c r="C89" s="13" t="s">
        <v>173</v>
      </c>
      <c r="D89" s="13" t="s">
        <v>33</v>
      </c>
      <c r="E89" s="33">
        <v>0</v>
      </c>
      <c r="F89" s="33">
        <v>0</v>
      </c>
      <c r="G89" s="248">
        <v>0</v>
      </c>
      <c r="H89" s="33">
        <v>0</v>
      </c>
      <c r="I89" s="93">
        <v>0</v>
      </c>
      <c r="J89" s="93">
        <v>0</v>
      </c>
      <c r="K89" s="93">
        <v>0</v>
      </c>
      <c r="L89" s="86">
        <v>0</v>
      </c>
    </row>
    <row r="90" spans="1:12" s="37" customFormat="1" ht="133.5" customHeight="1">
      <c r="A90" s="3" t="s">
        <v>175</v>
      </c>
      <c r="B90" s="38" t="s">
        <v>174</v>
      </c>
      <c r="C90" s="4" t="s">
        <v>176</v>
      </c>
      <c r="D90" s="4" t="s">
        <v>33</v>
      </c>
      <c r="E90" s="20">
        <v>0</v>
      </c>
      <c r="F90" s="20">
        <v>0</v>
      </c>
      <c r="G90" s="246">
        <v>0</v>
      </c>
      <c r="H90" s="20">
        <v>0</v>
      </c>
      <c r="I90" s="94">
        <v>0</v>
      </c>
      <c r="J90" s="94">
        <v>0</v>
      </c>
      <c r="K90" s="94">
        <v>0</v>
      </c>
      <c r="L90" s="85">
        <v>0</v>
      </c>
    </row>
    <row r="91" spans="1:12" s="37" customFormat="1" ht="94.5">
      <c r="A91" s="3" t="s">
        <v>178</v>
      </c>
      <c r="B91" s="38" t="s">
        <v>177</v>
      </c>
      <c r="C91" s="4"/>
      <c r="D91" s="4" t="s">
        <v>33</v>
      </c>
      <c r="E91" s="20">
        <v>0</v>
      </c>
      <c r="F91" s="20">
        <v>0</v>
      </c>
      <c r="G91" s="246">
        <v>0</v>
      </c>
      <c r="H91" s="20">
        <v>0</v>
      </c>
      <c r="I91" s="94">
        <v>0</v>
      </c>
      <c r="J91" s="94">
        <v>0</v>
      </c>
      <c r="K91" s="94">
        <v>0</v>
      </c>
      <c r="L91" s="85">
        <v>0</v>
      </c>
    </row>
    <row r="92" spans="1:12" s="18" customFormat="1" ht="38.25">
      <c r="A92" s="49"/>
      <c r="B92" s="29" t="s">
        <v>179</v>
      </c>
      <c r="C92" s="13" t="s">
        <v>173</v>
      </c>
      <c r="D92" s="13" t="s">
        <v>33</v>
      </c>
      <c r="E92" s="33">
        <v>0</v>
      </c>
      <c r="F92" s="33">
        <v>0</v>
      </c>
      <c r="G92" s="248">
        <v>0</v>
      </c>
      <c r="H92" s="33">
        <v>0</v>
      </c>
      <c r="I92" s="93">
        <v>0</v>
      </c>
      <c r="J92" s="93">
        <v>0</v>
      </c>
      <c r="K92" s="93">
        <v>0</v>
      </c>
      <c r="L92" s="86">
        <v>0</v>
      </c>
    </row>
    <row r="93" spans="1:12" s="18" customFormat="1" ht="38.25">
      <c r="A93" s="49"/>
      <c r="B93" s="29" t="s">
        <v>180</v>
      </c>
      <c r="C93" s="13" t="s">
        <v>173</v>
      </c>
      <c r="D93" s="13" t="s">
        <v>33</v>
      </c>
      <c r="E93" s="33">
        <v>0</v>
      </c>
      <c r="F93" s="33">
        <v>0</v>
      </c>
      <c r="G93" s="248">
        <v>0</v>
      </c>
      <c r="H93" s="33">
        <v>0</v>
      </c>
      <c r="I93" s="93">
        <v>0</v>
      </c>
      <c r="J93" s="93">
        <v>0</v>
      </c>
      <c r="K93" s="93">
        <v>0</v>
      </c>
      <c r="L93" s="86">
        <v>0</v>
      </c>
    </row>
    <row r="94" spans="1:12" s="18" customFormat="1" ht="51">
      <c r="A94" s="49"/>
      <c r="B94" s="29" t="s">
        <v>181</v>
      </c>
      <c r="C94" s="13" t="s">
        <v>182</v>
      </c>
      <c r="D94" s="13" t="s">
        <v>33</v>
      </c>
      <c r="E94" s="33">
        <v>0</v>
      </c>
      <c r="F94" s="33">
        <v>0</v>
      </c>
      <c r="G94" s="248">
        <v>0</v>
      </c>
      <c r="H94" s="33">
        <v>0</v>
      </c>
      <c r="I94" s="93">
        <v>0</v>
      </c>
      <c r="J94" s="93">
        <v>0</v>
      </c>
      <c r="K94" s="93">
        <v>0</v>
      </c>
      <c r="L94" s="86">
        <v>0</v>
      </c>
    </row>
    <row r="95" spans="1:12" s="12" customFormat="1" ht="18.75" customHeight="1">
      <c r="A95" s="995" t="s">
        <v>7</v>
      </c>
      <c r="B95" s="995"/>
      <c r="C95" s="995"/>
      <c r="D95" s="995"/>
      <c r="E95" s="42">
        <f t="shared" ref="E95:L95" si="17">SUM(E9,E13:E18,E21:E22,E26,E28:E33,E37:E38,E42,E48:E49,E56,E63,E65,E70,E72,E76:E78,E80:E80,E81,E82,E84:E85,E90:E91)</f>
        <v>239554.52600000001</v>
      </c>
      <c r="F95" s="42">
        <f t="shared" si="17"/>
        <v>87920.13</v>
      </c>
      <c r="G95" s="253">
        <f t="shared" si="17"/>
        <v>17019.07</v>
      </c>
      <c r="H95" s="42">
        <f t="shared" si="17"/>
        <v>134615.326</v>
      </c>
      <c r="I95" s="111">
        <f t="shared" si="17"/>
        <v>109970.44109000001</v>
      </c>
      <c r="J95" s="111">
        <f t="shared" si="17"/>
        <v>25054.659999999996</v>
      </c>
      <c r="K95" s="242">
        <f t="shared" si="17"/>
        <v>3329.19</v>
      </c>
      <c r="L95" s="111">
        <f t="shared" si="17"/>
        <v>81586.591090000002</v>
      </c>
    </row>
    <row r="96" spans="1:12">
      <c r="A96" s="7"/>
      <c r="G96" s="254"/>
    </row>
    <row r="97" spans="1:12">
      <c r="A97" s="7"/>
      <c r="B97" s="19"/>
      <c r="E97" s="112"/>
      <c r="F97" s="112"/>
      <c r="H97" s="112"/>
      <c r="L97" s="112"/>
    </row>
    <row r="98" spans="1:12">
      <c r="A98" s="7"/>
      <c r="E98" s="112"/>
      <c r="F98" s="112"/>
      <c r="H98" s="112"/>
    </row>
    <row r="99" spans="1:12">
      <c r="A99" s="62" t="s">
        <v>8</v>
      </c>
      <c r="B99" s="63"/>
      <c r="C99" s="64"/>
      <c r="D99" s="64"/>
      <c r="E99" s="99"/>
      <c r="F99" s="100"/>
      <c r="G99" s="255"/>
      <c r="H99" s="101"/>
      <c r="I99" s="101"/>
      <c r="J99" s="101"/>
    </row>
    <row r="100" spans="1:12">
      <c r="A100" s="65"/>
      <c r="B100" s="66"/>
      <c r="C100" s="67"/>
      <c r="D100" s="67"/>
      <c r="E100" s="102"/>
      <c r="F100" s="103"/>
      <c r="G100" s="256"/>
      <c r="H100" s="104"/>
      <c r="I100" s="104"/>
      <c r="J100" s="104" t="s">
        <v>9</v>
      </c>
    </row>
    <row r="101" spans="1:12">
      <c r="A101" s="65"/>
      <c r="B101" s="983" t="s">
        <v>10</v>
      </c>
      <c r="C101" s="984"/>
      <c r="D101" s="985"/>
      <c r="E101" s="986" t="s">
        <v>11</v>
      </c>
      <c r="F101" s="987"/>
      <c r="G101" s="988"/>
      <c r="H101" s="986" t="s">
        <v>12</v>
      </c>
      <c r="I101" s="987"/>
      <c r="J101" s="988"/>
    </row>
    <row r="102" spans="1:12" ht="31.5">
      <c r="A102" s="65"/>
      <c r="B102" s="68" t="s">
        <v>13</v>
      </c>
      <c r="C102" s="68" t="s">
        <v>14</v>
      </c>
      <c r="D102" s="68" t="s">
        <v>15</v>
      </c>
      <c r="E102" s="105" t="s">
        <v>13</v>
      </c>
      <c r="F102" s="105" t="s">
        <v>14</v>
      </c>
      <c r="G102" s="257" t="s">
        <v>15</v>
      </c>
      <c r="H102" s="105" t="s">
        <v>13</v>
      </c>
      <c r="I102" s="105" t="s">
        <v>14</v>
      </c>
      <c r="J102" s="105" t="s">
        <v>15</v>
      </c>
    </row>
    <row r="103" spans="1:12">
      <c r="A103" s="69"/>
      <c r="B103" s="70">
        <f>C103+D103</f>
        <v>264289.09999999998</v>
      </c>
      <c r="C103" s="70">
        <f>41753.7</f>
        <v>41753.699999999997</v>
      </c>
      <c r="D103" s="70">
        <f>87920.1+134615.3</f>
        <v>222535.4</v>
      </c>
      <c r="E103" s="106">
        <f>F103+G103</f>
        <v>109970.44109000001</v>
      </c>
      <c r="F103" s="106">
        <f>K95</f>
        <v>3329.19</v>
      </c>
      <c r="G103" s="258">
        <f>J95+L95</f>
        <v>106641.25109000001</v>
      </c>
      <c r="H103" s="107">
        <f>B103-E103</f>
        <v>154318.65890999997</v>
      </c>
      <c r="I103" s="107">
        <f>C103-F103</f>
        <v>38424.509999999995</v>
      </c>
      <c r="J103" s="107">
        <f>G103-D103</f>
        <v>-115894.14890999999</v>
      </c>
    </row>
    <row r="104" spans="1:12">
      <c r="A104" s="7"/>
    </row>
    <row r="105" spans="1:12">
      <c r="A105" s="7"/>
    </row>
    <row r="106" spans="1:12">
      <c r="A106" s="7"/>
    </row>
    <row r="107" spans="1:12">
      <c r="A107" s="7"/>
    </row>
    <row r="108" spans="1:12">
      <c r="A108" s="7"/>
    </row>
    <row r="109" spans="1:12">
      <c r="A109" s="7"/>
    </row>
    <row r="110" spans="1:12">
      <c r="A110" s="7"/>
    </row>
    <row r="111" spans="1:12">
      <c r="A111" s="7"/>
    </row>
    <row r="112" spans="1:12">
      <c r="A112" s="7"/>
    </row>
    <row r="113" spans="1:1">
      <c r="A113" s="7"/>
    </row>
    <row r="114" spans="1:1">
      <c r="A114" s="7"/>
    </row>
    <row r="115" spans="1:1">
      <c r="A115" s="7"/>
    </row>
    <row r="116" spans="1:1">
      <c r="A116" s="7"/>
    </row>
    <row r="117" spans="1:1">
      <c r="A117" s="7"/>
    </row>
    <row r="118" spans="1:1">
      <c r="A118" s="7"/>
    </row>
    <row r="119" spans="1:1">
      <c r="A119" s="7"/>
    </row>
    <row r="120" spans="1:1">
      <c r="A120" s="7"/>
    </row>
    <row r="121" spans="1:1">
      <c r="A121" s="7"/>
    </row>
    <row r="122" spans="1:1">
      <c r="A122" s="7"/>
    </row>
    <row r="123" spans="1:1">
      <c r="A123" s="7"/>
    </row>
    <row r="124" spans="1:1">
      <c r="A124" s="7"/>
    </row>
    <row r="125" spans="1:1">
      <c r="A125" s="7"/>
    </row>
    <row r="126" spans="1:1">
      <c r="A126" s="7"/>
    </row>
    <row r="127" spans="1:1">
      <c r="A127" s="7"/>
    </row>
    <row r="128" spans="1:1">
      <c r="A128" s="7"/>
    </row>
    <row r="129" spans="1:1">
      <c r="A129" s="7"/>
    </row>
    <row r="130" spans="1:1">
      <c r="A130" s="7"/>
    </row>
    <row r="131" spans="1:1">
      <c r="A131" s="7"/>
    </row>
    <row r="132" spans="1:1">
      <c r="A132" s="7"/>
    </row>
    <row r="133" spans="1:1">
      <c r="A133" s="7"/>
    </row>
    <row r="134" spans="1:1">
      <c r="A134" s="7"/>
    </row>
    <row r="135" spans="1:1">
      <c r="A135" s="7"/>
    </row>
    <row r="136" spans="1:1">
      <c r="A136" s="7"/>
    </row>
    <row r="137" spans="1:1">
      <c r="A137" s="7"/>
    </row>
    <row r="138" spans="1:1">
      <c r="A138" s="7"/>
    </row>
    <row r="139" spans="1:1">
      <c r="A139" s="7"/>
    </row>
    <row r="140" spans="1:1">
      <c r="A140" s="7"/>
    </row>
    <row r="141" spans="1:1">
      <c r="A141" s="7"/>
    </row>
    <row r="142" spans="1:1">
      <c r="A142" s="7"/>
    </row>
    <row r="143" spans="1:1">
      <c r="A143" s="7"/>
    </row>
    <row r="144" spans="1:1">
      <c r="A144" s="7"/>
    </row>
    <row r="145" spans="1:1">
      <c r="A145" s="7"/>
    </row>
    <row r="146" spans="1:1">
      <c r="A146" s="7"/>
    </row>
    <row r="147" spans="1:1">
      <c r="A147" s="7"/>
    </row>
    <row r="148" spans="1:1">
      <c r="A148" s="7"/>
    </row>
    <row r="149" spans="1:1">
      <c r="A149" s="7"/>
    </row>
    <row r="150" spans="1:1">
      <c r="A150" s="7"/>
    </row>
    <row r="151" spans="1:1">
      <c r="A151" s="7"/>
    </row>
    <row r="152" spans="1:1">
      <c r="A152" s="7"/>
    </row>
    <row r="153" spans="1:1">
      <c r="A153" s="7"/>
    </row>
    <row r="154" spans="1:1">
      <c r="A154" s="7"/>
    </row>
    <row r="155" spans="1:1">
      <c r="A155" s="7"/>
    </row>
    <row r="156" spans="1:1">
      <c r="A156" s="7"/>
    </row>
    <row r="157" spans="1:1">
      <c r="A157" s="7"/>
    </row>
    <row r="158" spans="1:1">
      <c r="A158" s="7"/>
    </row>
    <row r="159" spans="1:1">
      <c r="A159" s="7"/>
    </row>
    <row r="160" spans="1:1">
      <c r="A160" s="7"/>
    </row>
    <row r="161" spans="1:1">
      <c r="A161" s="7"/>
    </row>
    <row r="162" spans="1:1">
      <c r="A162" s="7"/>
    </row>
    <row r="163" spans="1:1">
      <c r="A163" s="7"/>
    </row>
    <row r="164" spans="1:1">
      <c r="A164" s="7"/>
    </row>
    <row r="165" spans="1:1">
      <c r="A165" s="7"/>
    </row>
    <row r="166" spans="1:1">
      <c r="A166" s="7"/>
    </row>
    <row r="167" spans="1:1">
      <c r="A167" s="7"/>
    </row>
    <row r="168" spans="1:1">
      <c r="A168" s="7"/>
    </row>
    <row r="169" spans="1:1">
      <c r="A169" s="7"/>
    </row>
    <row r="170" spans="1:1">
      <c r="A170" s="7"/>
    </row>
    <row r="171" spans="1:1">
      <c r="A171" s="7"/>
    </row>
    <row r="172" spans="1:1">
      <c r="A172" s="7"/>
    </row>
    <row r="173" spans="1:1">
      <c r="A173" s="7"/>
    </row>
    <row r="174" spans="1:1">
      <c r="A174" s="7"/>
    </row>
    <row r="175" spans="1:1">
      <c r="A175" s="7"/>
    </row>
    <row r="176" spans="1:1">
      <c r="A176" s="7"/>
    </row>
    <row r="177" spans="1:1">
      <c r="A177" s="7"/>
    </row>
    <row r="178" spans="1:1">
      <c r="A178" s="7"/>
    </row>
    <row r="179" spans="1:1">
      <c r="A179" s="7"/>
    </row>
    <row r="180" spans="1:1">
      <c r="A180" s="7"/>
    </row>
    <row r="181" spans="1:1">
      <c r="A181" s="7"/>
    </row>
    <row r="182" spans="1:1">
      <c r="A182" s="7"/>
    </row>
    <row r="183" spans="1:1">
      <c r="A183" s="7"/>
    </row>
    <row r="184" spans="1:1">
      <c r="A184" s="7"/>
    </row>
    <row r="185" spans="1:1">
      <c r="A185" s="7"/>
    </row>
    <row r="186" spans="1:1">
      <c r="A186" s="7"/>
    </row>
    <row r="187" spans="1:1">
      <c r="A187" s="7"/>
    </row>
    <row r="188" spans="1:1">
      <c r="A188" s="7"/>
    </row>
    <row r="189" spans="1:1">
      <c r="A189" s="7"/>
    </row>
    <row r="190" spans="1:1">
      <c r="A190" s="7"/>
    </row>
    <row r="191" spans="1:1">
      <c r="A191" s="7"/>
    </row>
    <row r="192" spans="1:1">
      <c r="A192" s="7"/>
    </row>
    <row r="193" spans="1:1">
      <c r="A193" s="7"/>
    </row>
    <row r="194" spans="1:1">
      <c r="A194" s="7"/>
    </row>
    <row r="195" spans="1:1">
      <c r="A195" s="7"/>
    </row>
    <row r="196" spans="1:1">
      <c r="A196" s="7"/>
    </row>
    <row r="197" spans="1:1">
      <c r="A197" s="7"/>
    </row>
    <row r="198" spans="1:1">
      <c r="A198" s="7"/>
    </row>
    <row r="199" spans="1:1">
      <c r="A199" s="7"/>
    </row>
    <row r="200" spans="1:1">
      <c r="A200" s="7"/>
    </row>
    <row r="201" spans="1:1">
      <c r="A201" s="7"/>
    </row>
    <row r="202" spans="1:1">
      <c r="A202" s="7"/>
    </row>
    <row r="203" spans="1:1">
      <c r="A203" s="7"/>
    </row>
    <row r="204" spans="1:1">
      <c r="A204" s="7"/>
    </row>
    <row r="205" spans="1:1">
      <c r="A205" s="7"/>
    </row>
    <row r="206" spans="1:1">
      <c r="A206" s="7"/>
    </row>
    <row r="207" spans="1:1">
      <c r="A207" s="7"/>
    </row>
    <row r="208" spans="1:1">
      <c r="A208" s="7"/>
    </row>
    <row r="209" spans="1:1">
      <c r="A209" s="7"/>
    </row>
    <row r="210" spans="1:1">
      <c r="A210" s="7"/>
    </row>
    <row r="211" spans="1:1">
      <c r="A211" s="7"/>
    </row>
    <row r="212" spans="1:1">
      <c r="A212" s="7"/>
    </row>
    <row r="213" spans="1:1">
      <c r="A213" s="7"/>
    </row>
    <row r="214" spans="1:1">
      <c r="A214" s="7"/>
    </row>
    <row r="215" spans="1:1">
      <c r="A215" s="7"/>
    </row>
    <row r="216" spans="1:1">
      <c r="A216" s="7"/>
    </row>
    <row r="217" spans="1:1">
      <c r="A217" s="7"/>
    </row>
    <row r="218" spans="1:1">
      <c r="A218" s="7"/>
    </row>
    <row r="219" spans="1:1">
      <c r="A219" s="7"/>
    </row>
    <row r="220" spans="1:1">
      <c r="A220" s="7"/>
    </row>
    <row r="221" spans="1:1">
      <c r="A221" s="7"/>
    </row>
    <row r="222" spans="1:1">
      <c r="A222" s="7"/>
    </row>
    <row r="223" spans="1:1">
      <c r="A223" s="7"/>
    </row>
    <row r="224" spans="1:1">
      <c r="A224" s="7"/>
    </row>
    <row r="225" spans="1:1">
      <c r="A225" s="7"/>
    </row>
    <row r="226" spans="1:1">
      <c r="A226" s="7"/>
    </row>
    <row r="227" spans="1:1">
      <c r="A227" s="7"/>
    </row>
    <row r="228" spans="1:1">
      <c r="A228" s="7"/>
    </row>
    <row r="229" spans="1:1">
      <c r="A229" s="7"/>
    </row>
    <row r="230" spans="1:1">
      <c r="A230" s="7"/>
    </row>
    <row r="231" spans="1:1">
      <c r="A231" s="7"/>
    </row>
    <row r="232" spans="1:1">
      <c r="A232" s="7"/>
    </row>
    <row r="233" spans="1:1">
      <c r="A233" s="7"/>
    </row>
    <row r="234" spans="1:1">
      <c r="A234" s="7"/>
    </row>
    <row r="235" spans="1:1">
      <c r="A235" s="7"/>
    </row>
    <row r="236" spans="1:1">
      <c r="A236" s="7"/>
    </row>
    <row r="237" spans="1:1">
      <c r="A237" s="7"/>
    </row>
    <row r="238" spans="1:1">
      <c r="A238" s="7"/>
    </row>
    <row r="239" spans="1:1">
      <c r="A239" s="7"/>
    </row>
    <row r="240" spans="1:1">
      <c r="A240" s="7"/>
    </row>
    <row r="241" spans="1:1">
      <c r="A241" s="7"/>
    </row>
    <row r="242" spans="1:1">
      <c r="A242" s="7"/>
    </row>
    <row r="243" spans="1:1">
      <c r="A243" s="7"/>
    </row>
    <row r="244" spans="1:1">
      <c r="A244" s="7"/>
    </row>
    <row r="245" spans="1:1">
      <c r="A245" s="7"/>
    </row>
    <row r="246" spans="1:1">
      <c r="A246" s="7"/>
    </row>
    <row r="247" spans="1:1">
      <c r="A247" s="7"/>
    </row>
    <row r="248" spans="1:1">
      <c r="A248" s="7"/>
    </row>
    <row r="249" spans="1:1">
      <c r="A249" s="7"/>
    </row>
    <row r="250" spans="1:1">
      <c r="A250" s="7"/>
    </row>
    <row r="251" spans="1:1">
      <c r="A251" s="7"/>
    </row>
    <row r="252" spans="1:1">
      <c r="A252" s="7"/>
    </row>
    <row r="253" spans="1:1">
      <c r="A253" s="7"/>
    </row>
    <row r="254" spans="1:1">
      <c r="A254" s="7"/>
    </row>
    <row r="255" spans="1:1">
      <c r="A255" s="7"/>
    </row>
    <row r="256" spans="1:1">
      <c r="A256" s="7"/>
    </row>
    <row r="257" spans="1:1">
      <c r="A257" s="7"/>
    </row>
    <row r="258" spans="1:1">
      <c r="A258" s="7"/>
    </row>
    <row r="259" spans="1:1">
      <c r="A259" s="7"/>
    </row>
    <row r="260" spans="1:1">
      <c r="A260" s="7"/>
    </row>
    <row r="261" spans="1:1">
      <c r="A261" s="7"/>
    </row>
    <row r="262" spans="1:1">
      <c r="A262" s="7"/>
    </row>
    <row r="263" spans="1:1">
      <c r="A263" s="7"/>
    </row>
    <row r="264" spans="1:1">
      <c r="A264" s="7"/>
    </row>
    <row r="265" spans="1:1">
      <c r="A265" s="7"/>
    </row>
    <row r="266" spans="1:1">
      <c r="A266" s="7"/>
    </row>
    <row r="267" spans="1:1">
      <c r="A267" s="7"/>
    </row>
    <row r="268" spans="1:1">
      <c r="A268" s="7"/>
    </row>
    <row r="269" spans="1:1">
      <c r="A269" s="7"/>
    </row>
    <row r="270" spans="1:1">
      <c r="A270" s="7"/>
    </row>
    <row r="271" spans="1:1">
      <c r="A271" s="7"/>
    </row>
    <row r="272" spans="1:1">
      <c r="A272" s="7"/>
    </row>
    <row r="273" spans="1:1">
      <c r="A273" s="7"/>
    </row>
    <row r="274" spans="1:1">
      <c r="A274" s="7"/>
    </row>
    <row r="275" spans="1:1">
      <c r="A275" s="7"/>
    </row>
    <row r="276" spans="1:1">
      <c r="A276" s="7"/>
    </row>
    <row r="277" spans="1:1">
      <c r="A277" s="7"/>
    </row>
    <row r="278" spans="1:1">
      <c r="A278" s="7"/>
    </row>
    <row r="279" spans="1:1">
      <c r="A279" s="7"/>
    </row>
    <row r="280" spans="1:1">
      <c r="A280" s="7"/>
    </row>
    <row r="281" spans="1:1">
      <c r="A281" s="7"/>
    </row>
    <row r="282" spans="1:1">
      <c r="A282" s="7"/>
    </row>
    <row r="283" spans="1:1">
      <c r="A283" s="7"/>
    </row>
    <row r="284" spans="1:1">
      <c r="A284" s="7"/>
    </row>
    <row r="285" spans="1:1">
      <c r="A285" s="7"/>
    </row>
    <row r="286" spans="1:1">
      <c r="A286" s="7"/>
    </row>
    <row r="287" spans="1:1">
      <c r="A287" s="7"/>
    </row>
    <row r="288" spans="1:1">
      <c r="A288" s="7"/>
    </row>
    <row r="289" spans="1:1">
      <c r="A289" s="7"/>
    </row>
    <row r="290" spans="1:1">
      <c r="A290" s="7"/>
    </row>
    <row r="291" spans="1:1">
      <c r="A291" s="7"/>
    </row>
    <row r="292" spans="1:1">
      <c r="A292" s="7"/>
    </row>
    <row r="293" spans="1:1">
      <c r="A293" s="7"/>
    </row>
    <row r="294" spans="1:1">
      <c r="A294" s="7"/>
    </row>
    <row r="295" spans="1:1">
      <c r="A295" s="7"/>
    </row>
    <row r="296" spans="1:1">
      <c r="A296" s="7"/>
    </row>
    <row r="297" spans="1:1">
      <c r="A297" s="7"/>
    </row>
    <row r="298" spans="1:1">
      <c r="A298" s="7"/>
    </row>
    <row r="299" spans="1:1">
      <c r="A299" s="7"/>
    </row>
    <row r="300" spans="1:1">
      <c r="A300" s="7"/>
    </row>
    <row r="301" spans="1:1">
      <c r="A301" s="7"/>
    </row>
    <row r="302" spans="1:1">
      <c r="A302" s="7"/>
    </row>
    <row r="303" spans="1:1">
      <c r="A303" s="7"/>
    </row>
    <row r="304" spans="1:1">
      <c r="A304" s="7"/>
    </row>
    <row r="305" spans="1:1">
      <c r="A305" s="7"/>
    </row>
    <row r="306" spans="1:1">
      <c r="A306" s="7"/>
    </row>
    <row r="307" spans="1:1">
      <c r="A307" s="7"/>
    </row>
    <row r="308" spans="1:1">
      <c r="A308" s="7"/>
    </row>
    <row r="309" spans="1:1">
      <c r="A309" s="7"/>
    </row>
    <row r="310" spans="1:1">
      <c r="A310" s="7"/>
    </row>
    <row r="311" spans="1:1">
      <c r="A311" s="7"/>
    </row>
    <row r="312" spans="1:1">
      <c r="A312" s="7"/>
    </row>
    <row r="313" spans="1:1">
      <c r="A313" s="7"/>
    </row>
    <row r="314" spans="1:1">
      <c r="A314" s="7"/>
    </row>
    <row r="315" spans="1:1">
      <c r="A315" s="7"/>
    </row>
    <row r="316" spans="1:1">
      <c r="A316" s="7"/>
    </row>
    <row r="317" spans="1:1">
      <c r="A317" s="7"/>
    </row>
    <row r="318" spans="1:1">
      <c r="A318" s="7"/>
    </row>
    <row r="319" spans="1:1">
      <c r="A319" s="7"/>
    </row>
    <row r="320" spans="1:1">
      <c r="A320" s="7"/>
    </row>
    <row r="321" spans="1:1">
      <c r="A321" s="7"/>
    </row>
    <row r="322" spans="1:1">
      <c r="A322" s="7"/>
    </row>
    <row r="323" spans="1:1">
      <c r="A323" s="7"/>
    </row>
    <row r="324" spans="1:1">
      <c r="A324" s="7"/>
    </row>
    <row r="325" spans="1:1">
      <c r="A325" s="7"/>
    </row>
    <row r="326" spans="1:1">
      <c r="A326" s="7"/>
    </row>
    <row r="327" spans="1:1">
      <c r="A327" s="7"/>
    </row>
    <row r="328" spans="1:1">
      <c r="A328" s="7"/>
    </row>
    <row r="329" spans="1:1">
      <c r="A329" s="7"/>
    </row>
    <row r="330" spans="1:1">
      <c r="A330" s="7"/>
    </row>
    <row r="331" spans="1:1">
      <c r="A331" s="7"/>
    </row>
    <row r="332" spans="1:1">
      <c r="A332" s="7"/>
    </row>
    <row r="333" spans="1:1">
      <c r="A333" s="7"/>
    </row>
    <row r="334" spans="1:1">
      <c r="A334" s="7"/>
    </row>
    <row r="335" spans="1:1">
      <c r="A335" s="7"/>
    </row>
    <row r="336" spans="1:1">
      <c r="A336" s="7"/>
    </row>
    <row r="337" spans="1:1">
      <c r="A337" s="7"/>
    </row>
    <row r="338" spans="1:1">
      <c r="A338" s="7"/>
    </row>
    <row r="339" spans="1:1">
      <c r="A339" s="7"/>
    </row>
    <row r="340" spans="1:1">
      <c r="A340" s="7"/>
    </row>
    <row r="341" spans="1:1">
      <c r="A341" s="7"/>
    </row>
    <row r="342" spans="1:1">
      <c r="A342" s="7"/>
    </row>
    <row r="343" spans="1:1">
      <c r="A343" s="7"/>
    </row>
    <row r="344" spans="1:1">
      <c r="A344" s="7"/>
    </row>
    <row r="345" spans="1:1">
      <c r="A345" s="7"/>
    </row>
    <row r="346" spans="1:1">
      <c r="A346" s="7"/>
    </row>
    <row r="347" spans="1:1">
      <c r="A347" s="7"/>
    </row>
    <row r="348" spans="1:1">
      <c r="A348" s="7"/>
    </row>
    <row r="349" spans="1:1">
      <c r="A349" s="7"/>
    </row>
    <row r="350" spans="1:1">
      <c r="A350" s="7"/>
    </row>
    <row r="351" spans="1:1">
      <c r="A351" s="7"/>
    </row>
    <row r="352" spans="1:1">
      <c r="A352" s="7"/>
    </row>
    <row r="353" spans="1:1">
      <c r="A353" s="7"/>
    </row>
    <row r="354" spans="1:1">
      <c r="A354" s="7"/>
    </row>
    <row r="355" spans="1:1">
      <c r="A355" s="7"/>
    </row>
    <row r="356" spans="1:1">
      <c r="A356" s="7"/>
    </row>
    <row r="357" spans="1:1">
      <c r="A357" s="7"/>
    </row>
    <row r="358" spans="1:1">
      <c r="A358" s="7"/>
    </row>
    <row r="359" spans="1:1">
      <c r="A359" s="7"/>
    </row>
    <row r="360" spans="1:1">
      <c r="A360" s="7"/>
    </row>
    <row r="361" spans="1:1">
      <c r="A361" s="7"/>
    </row>
    <row r="362" spans="1:1">
      <c r="A362" s="7"/>
    </row>
    <row r="363" spans="1:1">
      <c r="A363" s="7"/>
    </row>
    <row r="364" spans="1:1">
      <c r="A364" s="7"/>
    </row>
    <row r="365" spans="1:1">
      <c r="A365" s="7"/>
    </row>
    <row r="366" spans="1:1">
      <c r="A366" s="7"/>
    </row>
    <row r="367" spans="1:1">
      <c r="A367" s="7"/>
    </row>
    <row r="368" spans="1:1">
      <c r="A368" s="7"/>
    </row>
    <row r="369" spans="1:1">
      <c r="A369" s="7"/>
    </row>
    <row r="370" spans="1:1">
      <c r="A370" s="7"/>
    </row>
    <row r="371" spans="1:1">
      <c r="A371" s="7"/>
    </row>
    <row r="372" spans="1:1">
      <c r="A372" s="7"/>
    </row>
    <row r="373" spans="1:1">
      <c r="A373" s="7"/>
    </row>
    <row r="374" spans="1:1">
      <c r="A374" s="7"/>
    </row>
    <row r="375" spans="1:1">
      <c r="A375" s="7"/>
    </row>
    <row r="376" spans="1:1">
      <c r="A376" s="7"/>
    </row>
    <row r="377" spans="1:1">
      <c r="A377" s="7"/>
    </row>
    <row r="378" spans="1:1">
      <c r="A378" s="7"/>
    </row>
    <row r="379" spans="1:1">
      <c r="A379" s="7"/>
    </row>
    <row r="380" spans="1:1">
      <c r="A380" s="7"/>
    </row>
    <row r="381" spans="1:1">
      <c r="A381" s="7"/>
    </row>
    <row r="382" spans="1:1">
      <c r="A382" s="7"/>
    </row>
    <row r="383" spans="1:1">
      <c r="A383" s="7"/>
    </row>
    <row r="384" spans="1:1">
      <c r="A384" s="7"/>
    </row>
    <row r="385" spans="1:1">
      <c r="A385" s="7"/>
    </row>
    <row r="386" spans="1:1">
      <c r="A386" s="7"/>
    </row>
    <row r="387" spans="1:1">
      <c r="A387" s="7"/>
    </row>
    <row r="388" spans="1:1">
      <c r="A388" s="7"/>
    </row>
    <row r="389" spans="1:1">
      <c r="A389" s="7"/>
    </row>
    <row r="390" spans="1:1">
      <c r="A390" s="7"/>
    </row>
    <row r="391" spans="1:1">
      <c r="A391" s="7"/>
    </row>
    <row r="392" spans="1:1">
      <c r="A392" s="7"/>
    </row>
    <row r="393" spans="1:1">
      <c r="A393" s="7"/>
    </row>
    <row r="394" spans="1:1">
      <c r="A394" s="7"/>
    </row>
    <row r="395" spans="1:1">
      <c r="A395" s="7"/>
    </row>
    <row r="396" spans="1:1">
      <c r="A396" s="7"/>
    </row>
    <row r="397" spans="1:1">
      <c r="A397" s="7"/>
    </row>
    <row r="398" spans="1:1">
      <c r="A398" s="7"/>
    </row>
    <row r="399" spans="1:1">
      <c r="A399" s="7"/>
    </row>
    <row r="400" spans="1:1">
      <c r="A400" s="7"/>
    </row>
    <row r="401" spans="1:1">
      <c r="A401" s="7"/>
    </row>
    <row r="402" spans="1:1">
      <c r="A402" s="7"/>
    </row>
    <row r="403" spans="1:1">
      <c r="A403" s="7"/>
    </row>
    <row r="404" spans="1:1">
      <c r="A404" s="7"/>
    </row>
    <row r="405" spans="1:1">
      <c r="A405" s="7"/>
    </row>
    <row r="406" spans="1:1">
      <c r="A406" s="7"/>
    </row>
    <row r="407" spans="1:1">
      <c r="A407" s="7"/>
    </row>
    <row r="408" spans="1:1">
      <c r="A408" s="7"/>
    </row>
    <row r="409" spans="1:1">
      <c r="A409" s="7"/>
    </row>
    <row r="410" spans="1:1">
      <c r="A410" s="7"/>
    </row>
    <row r="411" spans="1:1">
      <c r="A411" s="7"/>
    </row>
    <row r="412" spans="1:1">
      <c r="A412" s="7"/>
    </row>
    <row r="413" spans="1:1">
      <c r="A413" s="7"/>
    </row>
    <row r="414" spans="1:1">
      <c r="A414" s="7"/>
    </row>
    <row r="415" spans="1:1">
      <c r="A415" s="7"/>
    </row>
    <row r="416" spans="1:1">
      <c r="A416" s="7"/>
    </row>
    <row r="417" spans="1:1">
      <c r="A417" s="7"/>
    </row>
    <row r="418" spans="1:1">
      <c r="A418" s="7"/>
    </row>
    <row r="419" spans="1:1">
      <c r="A419" s="7"/>
    </row>
    <row r="420" spans="1:1">
      <c r="A420" s="7"/>
    </row>
    <row r="421" spans="1:1">
      <c r="A421" s="7"/>
    </row>
    <row r="422" spans="1:1">
      <c r="A422" s="7"/>
    </row>
    <row r="423" spans="1:1">
      <c r="A423" s="7"/>
    </row>
    <row r="424" spans="1:1">
      <c r="A424" s="7"/>
    </row>
    <row r="425" spans="1:1">
      <c r="A425" s="7"/>
    </row>
    <row r="426" spans="1:1">
      <c r="A426" s="7"/>
    </row>
    <row r="427" spans="1:1">
      <c r="A427" s="7"/>
    </row>
    <row r="428" spans="1:1">
      <c r="A428" s="7"/>
    </row>
    <row r="429" spans="1:1">
      <c r="A429" s="7"/>
    </row>
    <row r="430" spans="1:1">
      <c r="A430" s="7"/>
    </row>
    <row r="431" spans="1:1">
      <c r="A431" s="7"/>
    </row>
    <row r="432" spans="1:1">
      <c r="A432" s="7"/>
    </row>
    <row r="433" spans="1:1">
      <c r="A433" s="7"/>
    </row>
    <row r="434" spans="1:1">
      <c r="A434" s="7"/>
    </row>
    <row r="435" spans="1:1">
      <c r="A435" s="7"/>
    </row>
    <row r="436" spans="1:1">
      <c r="A436" s="7"/>
    </row>
    <row r="437" spans="1:1">
      <c r="A437" s="7"/>
    </row>
    <row r="438" spans="1:1">
      <c r="A438" s="7"/>
    </row>
    <row r="439" spans="1:1">
      <c r="A439" s="7"/>
    </row>
    <row r="440" spans="1:1">
      <c r="A440" s="7"/>
    </row>
    <row r="441" spans="1:1">
      <c r="A441" s="7"/>
    </row>
    <row r="442" spans="1:1">
      <c r="A442" s="7"/>
    </row>
    <row r="443" spans="1:1">
      <c r="A443" s="7"/>
    </row>
    <row r="444" spans="1:1">
      <c r="A444" s="7"/>
    </row>
    <row r="445" spans="1:1">
      <c r="A445" s="7"/>
    </row>
    <row r="446" spans="1:1">
      <c r="A446" s="7"/>
    </row>
    <row r="447" spans="1:1">
      <c r="A447" s="7"/>
    </row>
    <row r="448" spans="1:1">
      <c r="A448" s="7"/>
    </row>
    <row r="449" spans="1:1">
      <c r="A449" s="7"/>
    </row>
    <row r="450" spans="1:1">
      <c r="A450" s="7"/>
    </row>
    <row r="451" spans="1:1">
      <c r="A451" s="7"/>
    </row>
    <row r="452" spans="1:1">
      <c r="A452" s="7"/>
    </row>
    <row r="453" spans="1:1">
      <c r="A453" s="7"/>
    </row>
    <row r="454" spans="1:1">
      <c r="A454" s="7"/>
    </row>
    <row r="455" spans="1:1">
      <c r="A455" s="7"/>
    </row>
    <row r="456" spans="1:1">
      <c r="A456" s="7"/>
    </row>
    <row r="457" spans="1:1">
      <c r="A457" s="7"/>
    </row>
    <row r="458" spans="1:1">
      <c r="A458" s="7"/>
    </row>
    <row r="459" spans="1:1">
      <c r="A459" s="7"/>
    </row>
    <row r="460" spans="1:1">
      <c r="A460" s="7"/>
    </row>
    <row r="461" spans="1:1">
      <c r="A461" s="7"/>
    </row>
    <row r="462" spans="1:1">
      <c r="A462" s="7"/>
    </row>
    <row r="463" spans="1:1">
      <c r="A463" s="7"/>
    </row>
    <row r="464" spans="1:1">
      <c r="A464" s="7"/>
    </row>
    <row r="465" spans="1:1">
      <c r="A465" s="7"/>
    </row>
    <row r="466" spans="1:1">
      <c r="A466" s="7"/>
    </row>
    <row r="467" spans="1:1">
      <c r="A467" s="7"/>
    </row>
    <row r="468" spans="1:1">
      <c r="A468" s="7"/>
    </row>
    <row r="469" spans="1:1">
      <c r="A469" s="7"/>
    </row>
    <row r="470" spans="1:1">
      <c r="A470" s="7"/>
    </row>
    <row r="471" spans="1:1">
      <c r="A471" s="7"/>
    </row>
    <row r="472" spans="1:1">
      <c r="A472" s="7"/>
    </row>
    <row r="473" spans="1:1">
      <c r="A473" s="7"/>
    </row>
    <row r="474" spans="1:1">
      <c r="A474" s="7"/>
    </row>
    <row r="475" spans="1:1">
      <c r="A475" s="7"/>
    </row>
    <row r="476" spans="1:1">
      <c r="A476" s="7"/>
    </row>
    <row r="477" spans="1:1">
      <c r="A477" s="7"/>
    </row>
    <row r="478" spans="1:1">
      <c r="A478" s="7"/>
    </row>
    <row r="479" spans="1:1">
      <c r="A479" s="7"/>
    </row>
    <row r="480" spans="1:1">
      <c r="A480" s="7"/>
    </row>
    <row r="481" spans="1:1">
      <c r="A481" s="7"/>
    </row>
    <row r="482" spans="1:1">
      <c r="A482" s="7"/>
    </row>
    <row r="483" spans="1:1">
      <c r="A483" s="7"/>
    </row>
  </sheetData>
  <mergeCells count="15">
    <mergeCell ref="B101:D101"/>
    <mergeCell ref="E101:G101"/>
    <mergeCell ref="H101:J101"/>
    <mergeCell ref="A2:L2"/>
    <mergeCell ref="A4:A6"/>
    <mergeCell ref="B4:B6"/>
    <mergeCell ref="C4:C6"/>
    <mergeCell ref="D4:D6"/>
    <mergeCell ref="E4:H4"/>
    <mergeCell ref="I4:L4"/>
    <mergeCell ref="E5:E6"/>
    <mergeCell ref="F5:H5"/>
    <mergeCell ref="I5:I6"/>
    <mergeCell ref="J5:L5"/>
    <mergeCell ref="A95:D95"/>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X632"/>
  <sheetViews>
    <sheetView workbookViewId="0">
      <selection sqref="A1:S1"/>
    </sheetView>
  </sheetViews>
  <sheetFormatPr defaultRowHeight="15.75"/>
  <cols>
    <col min="1" max="1" width="6.42578125" style="240" customWidth="1"/>
    <col min="2" max="2" width="49.28515625" style="237" customWidth="1"/>
    <col min="3" max="3" width="16.7109375" style="238" customWidth="1"/>
    <col min="4" max="4" width="15.5703125" style="238" customWidth="1"/>
    <col min="5" max="5" width="21.85546875" style="238" customWidth="1"/>
    <col min="6" max="6" width="13.85546875" style="239" customWidth="1"/>
    <col min="7" max="7" width="43.140625" style="125" customWidth="1"/>
    <col min="8" max="8" width="9.140625" style="124"/>
    <col min="9" max="9" width="11.5703125" style="124" customWidth="1"/>
    <col min="10" max="10" width="23.7109375" style="124" customWidth="1"/>
    <col min="11" max="11" width="28.7109375" style="124" customWidth="1"/>
    <col min="12" max="12" width="15.7109375" style="124" customWidth="1"/>
    <col min="13" max="13" width="31.7109375" style="124" customWidth="1"/>
    <col min="14" max="24" width="9.140625" style="124"/>
    <col min="25" max="16384" width="9.140625" style="125"/>
  </cols>
  <sheetData>
    <row r="1" spans="1:24">
      <c r="A1" s="1024" t="s">
        <v>187</v>
      </c>
      <c r="B1" s="1024"/>
      <c r="C1" s="1024"/>
      <c r="D1" s="1024"/>
      <c r="E1" s="1024"/>
      <c r="F1" s="1024"/>
      <c r="G1" s="1024"/>
    </row>
    <row r="2" spans="1:24">
      <c r="A2" s="1024" t="s">
        <v>413</v>
      </c>
      <c r="B2" s="1024"/>
      <c r="C2" s="1024"/>
      <c r="D2" s="1024"/>
      <c r="E2" s="1024"/>
      <c r="F2" s="1024"/>
      <c r="G2" s="1024"/>
    </row>
    <row r="4" spans="1:24" s="126" customFormat="1">
      <c r="A4" s="1025" t="s">
        <v>26</v>
      </c>
      <c r="B4" s="1026" t="s">
        <v>188</v>
      </c>
      <c r="C4" s="1026" t="s">
        <v>189</v>
      </c>
      <c r="D4" s="1026"/>
      <c r="E4" s="1026" t="s">
        <v>190</v>
      </c>
      <c r="F4" s="1027" t="s">
        <v>191</v>
      </c>
      <c r="G4" s="1026" t="s">
        <v>192</v>
      </c>
      <c r="H4" s="124"/>
      <c r="I4" s="124"/>
      <c r="J4" s="124"/>
      <c r="K4" s="124"/>
      <c r="L4" s="124"/>
      <c r="M4" s="124"/>
      <c r="N4" s="124"/>
      <c r="O4" s="124"/>
      <c r="P4" s="124"/>
      <c r="Q4" s="124"/>
      <c r="R4" s="124"/>
      <c r="S4" s="124"/>
      <c r="T4" s="124"/>
      <c r="U4" s="124"/>
      <c r="V4" s="124"/>
      <c r="W4" s="124"/>
      <c r="X4" s="124"/>
    </row>
    <row r="5" spans="1:24" s="126" customFormat="1">
      <c r="A5" s="1025"/>
      <c r="B5" s="1026"/>
      <c r="C5" s="127" t="s">
        <v>193</v>
      </c>
      <c r="D5" s="127" t="s">
        <v>194</v>
      </c>
      <c r="E5" s="1026"/>
      <c r="F5" s="1027"/>
      <c r="G5" s="1026"/>
      <c r="H5" s="124"/>
      <c r="I5" s="124"/>
      <c r="J5" s="124"/>
      <c r="K5" s="124"/>
      <c r="L5" s="124"/>
      <c r="M5" s="124"/>
      <c r="N5" s="124"/>
      <c r="O5" s="124"/>
      <c r="P5" s="124"/>
      <c r="Q5" s="124"/>
      <c r="R5" s="124"/>
      <c r="S5" s="124"/>
      <c r="T5" s="124"/>
      <c r="U5" s="124"/>
      <c r="V5" s="124"/>
      <c r="W5" s="124"/>
      <c r="X5" s="124"/>
    </row>
    <row r="6" spans="1:24" s="126" customFormat="1">
      <c r="A6" s="128" t="s">
        <v>28</v>
      </c>
      <c r="B6" s="127">
        <v>2</v>
      </c>
      <c r="C6" s="128" t="s">
        <v>103</v>
      </c>
      <c r="D6" s="127">
        <v>4</v>
      </c>
      <c r="E6" s="128" t="s">
        <v>155</v>
      </c>
      <c r="F6" s="129">
        <v>6</v>
      </c>
      <c r="G6" s="128" t="s">
        <v>29</v>
      </c>
      <c r="H6" s="124"/>
      <c r="I6" s="124"/>
      <c r="J6" s="124"/>
      <c r="K6" s="124"/>
      <c r="L6" s="124"/>
      <c r="M6" s="124"/>
      <c r="N6" s="124"/>
      <c r="O6" s="124"/>
      <c r="P6" s="124"/>
      <c r="Q6" s="124"/>
      <c r="R6" s="124"/>
      <c r="S6" s="124"/>
      <c r="T6" s="124"/>
      <c r="U6" s="124"/>
      <c r="V6" s="124"/>
      <c r="W6" s="124"/>
      <c r="X6" s="124"/>
    </row>
    <row r="7" spans="1:24">
      <c r="A7" s="130">
        <v>1</v>
      </c>
      <c r="B7" s="1028" t="s">
        <v>48</v>
      </c>
      <c r="C7" s="1028"/>
      <c r="D7" s="1028"/>
      <c r="E7" s="1028"/>
      <c r="F7" s="1028"/>
      <c r="G7" s="1028"/>
    </row>
    <row r="8" spans="1:24">
      <c r="A8" s="131" t="s">
        <v>46</v>
      </c>
      <c r="B8" s="1013" t="s">
        <v>195</v>
      </c>
      <c r="C8" s="1014"/>
      <c r="D8" s="1014"/>
      <c r="E8" s="1014"/>
      <c r="F8" s="1014"/>
      <c r="G8" s="1014"/>
    </row>
    <row r="9" spans="1:24">
      <c r="A9" s="132"/>
      <c r="B9" s="123" t="s">
        <v>196</v>
      </c>
      <c r="C9" s="133">
        <v>11170.18</v>
      </c>
      <c r="D9" s="133">
        <v>4833.2298000000001</v>
      </c>
      <c r="E9" s="133">
        <f>D9-C9</f>
        <v>-6336.9502000000002</v>
      </c>
      <c r="F9" s="114">
        <f>D9/C9*100</f>
        <v>43.269041322521211</v>
      </c>
      <c r="G9" s="122" t="s">
        <v>400</v>
      </c>
    </row>
    <row r="10" spans="1:24" ht="31.5">
      <c r="A10" s="132"/>
      <c r="B10" s="134" t="s">
        <v>197</v>
      </c>
      <c r="C10" s="114">
        <v>22000</v>
      </c>
      <c r="D10" s="114">
        <v>14304</v>
      </c>
      <c r="E10" s="114">
        <f>D10-C10</f>
        <v>-7696</v>
      </c>
      <c r="F10" s="114">
        <f>D10/C10*100</f>
        <v>65.018181818181816</v>
      </c>
      <c r="G10" s="122" t="s">
        <v>400</v>
      </c>
    </row>
    <row r="11" spans="1:24" ht="47.25">
      <c r="A11" s="132"/>
      <c r="B11" s="134" t="s">
        <v>198</v>
      </c>
      <c r="C11" s="135">
        <f>C9/C10</f>
        <v>0.50773545454545455</v>
      </c>
      <c r="D11" s="135">
        <f>D9/D10</f>
        <v>0.33789358221476512</v>
      </c>
      <c r="E11" s="133">
        <f>D11-C11</f>
        <v>-0.16984187233068943</v>
      </c>
      <c r="F11" s="114">
        <f>D11/C11*100</f>
        <v>66.549140736539897</v>
      </c>
      <c r="G11" s="122" t="s">
        <v>400</v>
      </c>
    </row>
    <row r="12" spans="1:24" ht="63">
      <c r="A12" s="132"/>
      <c r="B12" s="134" t="s">
        <v>199</v>
      </c>
      <c r="C12" s="136">
        <v>66</v>
      </c>
      <c r="D12" s="136">
        <v>41.3</v>
      </c>
      <c r="E12" s="136">
        <f>D12-C12</f>
        <v>-24.700000000000003</v>
      </c>
      <c r="F12" s="136">
        <f>D12/C12*100</f>
        <v>62.575757575757571</v>
      </c>
      <c r="G12" s="122" t="s">
        <v>400</v>
      </c>
    </row>
    <row r="13" spans="1:24">
      <c r="A13" s="137"/>
      <c r="B13" s="1015" t="s">
        <v>200</v>
      </c>
      <c r="C13" s="1016"/>
      <c r="D13" s="1016"/>
      <c r="E13" s="1016"/>
      <c r="F13" s="1016"/>
      <c r="G13" s="1016"/>
    </row>
    <row r="14" spans="1:24">
      <c r="A14" s="138"/>
      <c r="B14" s="123" t="s">
        <v>196</v>
      </c>
      <c r="C14" s="133">
        <v>5909.49</v>
      </c>
      <c r="D14" s="133">
        <v>3472.61</v>
      </c>
      <c r="E14" s="133">
        <f>D14-C14</f>
        <v>-2436.8799999999997</v>
      </c>
      <c r="F14" s="114">
        <f>D14/C14*100</f>
        <v>58.763277372497456</v>
      </c>
      <c r="G14" s="122" t="s">
        <v>400</v>
      </c>
    </row>
    <row r="15" spans="1:24" ht="31.5">
      <c r="A15" s="138"/>
      <c r="B15" s="134" t="s">
        <v>201</v>
      </c>
      <c r="C15" s="114">
        <v>15700</v>
      </c>
      <c r="D15" s="114">
        <v>9063</v>
      </c>
      <c r="E15" s="114">
        <f>D15-C15</f>
        <v>-6637</v>
      </c>
      <c r="F15" s="114">
        <f>D15/C15*100</f>
        <v>57.726114649681527</v>
      </c>
      <c r="G15" s="122" t="s">
        <v>400</v>
      </c>
    </row>
    <row r="16" spans="1:24" ht="47.25">
      <c r="A16" s="138"/>
      <c r="B16" s="134" t="s">
        <v>202</v>
      </c>
      <c r="C16" s="139">
        <f>C14/C15</f>
        <v>0.37640063694267517</v>
      </c>
      <c r="D16" s="139">
        <f>D14/D15</f>
        <v>0.38316341167383872</v>
      </c>
      <c r="E16" s="139">
        <f>D16-C16</f>
        <v>6.7627747311635455E-3</v>
      </c>
      <c r="F16" s="114">
        <f>D16/C16*100</f>
        <v>101.79669587865057</v>
      </c>
      <c r="G16" s="122" t="s">
        <v>400</v>
      </c>
    </row>
    <row r="17" spans="1:24" ht="63">
      <c r="A17" s="138"/>
      <c r="B17" s="134" t="s">
        <v>203</v>
      </c>
      <c r="C17" s="140">
        <v>65</v>
      </c>
      <c r="D17" s="141">
        <v>27.2</v>
      </c>
      <c r="E17" s="141">
        <f>D17-C17</f>
        <v>-37.799999999999997</v>
      </c>
      <c r="F17" s="114">
        <f>D17/C17*100</f>
        <v>41.846153846153847</v>
      </c>
      <c r="G17" s="122" t="s">
        <v>400</v>
      </c>
    </row>
    <row r="18" spans="1:24">
      <c r="A18" s="138"/>
      <c r="B18" s="1000" t="s">
        <v>52</v>
      </c>
      <c r="C18" s="1000"/>
      <c r="D18" s="1000"/>
      <c r="E18" s="1000"/>
      <c r="F18" s="1000"/>
      <c r="G18" s="1001"/>
    </row>
    <row r="19" spans="1:24">
      <c r="A19" s="138"/>
      <c r="B19" s="123" t="s">
        <v>196</v>
      </c>
      <c r="C19" s="133">
        <v>3743.7959999999998</v>
      </c>
      <c r="D19" s="142">
        <v>839.38</v>
      </c>
      <c r="E19" s="133">
        <f>D19-C19</f>
        <v>-2904.4159999999997</v>
      </c>
      <c r="F19" s="114">
        <f>D19/C19*100</f>
        <v>22.420559239873114</v>
      </c>
      <c r="G19" s="122" t="s">
        <v>400</v>
      </c>
    </row>
    <row r="20" spans="1:24" ht="31.5">
      <c r="A20" s="138"/>
      <c r="B20" s="123" t="s">
        <v>204</v>
      </c>
      <c r="C20" s="114">
        <v>5700</v>
      </c>
      <c r="D20" s="143">
        <v>3668</v>
      </c>
      <c r="E20" s="114">
        <f>D20-C20</f>
        <v>-2032</v>
      </c>
      <c r="F20" s="114">
        <f>D20/C20*100</f>
        <v>64.350877192982452</v>
      </c>
      <c r="G20" s="122" t="s">
        <v>400</v>
      </c>
    </row>
    <row r="21" spans="1:24" ht="47.25">
      <c r="A21" s="144"/>
      <c r="B21" s="123" t="s">
        <v>205</v>
      </c>
      <c r="C21" s="145">
        <f>C19/C20</f>
        <v>0.65680631578947368</v>
      </c>
      <c r="D21" s="145">
        <f>D19/D20</f>
        <v>0.22883860414394766</v>
      </c>
      <c r="E21" s="133">
        <f>D21-C21</f>
        <v>-0.42796771164552605</v>
      </c>
      <c r="F21" s="114">
        <f>D21/C21*100</f>
        <v>34.841108960544368</v>
      </c>
      <c r="G21" s="122" t="s">
        <v>400</v>
      </c>
    </row>
    <row r="22" spans="1:24" ht="63">
      <c r="A22" s="144"/>
      <c r="B22" s="146" t="s">
        <v>206</v>
      </c>
      <c r="C22" s="147">
        <v>57</v>
      </c>
      <c r="D22" s="148">
        <v>34.9</v>
      </c>
      <c r="E22" s="141">
        <f>D22-C22</f>
        <v>-22.1</v>
      </c>
      <c r="F22" s="114">
        <f>D22/C22*100</f>
        <v>61.228070175438596</v>
      </c>
      <c r="G22" s="122" t="s">
        <v>400</v>
      </c>
    </row>
    <row r="23" spans="1:24" s="149" customFormat="1">
      <c r="A23" s="137" t="s">
        <v>247</v>
      </c>
      <c r="B23" s="1017" t="s">
        <v>248</v>
      </c>
      <c r="C23" s="1018"/>
      <c r="D23" s="1000"/>
      <c r="E23" s="1000"/>
      <c r="F23" s="1000"/>
      <c r="G23" s="1001"/>
      <c r="H23" s="124"/>
      <c r="I23" s="124"/>
      <c r="J23" s="124"/>
      <c r="K23" s="124"/>
      <c r="L23" s="124"/>
      <c r="M23" s="124"/>
      <c r="N23" s="124"/>
      <c r="O23" s="124"/>
      <c r="P23" s="124"/>
      <c r="Q23" s="124"/>
      <c r="R23" s="124"/>
      <c r="S23" s="124"/>
      <c r="T23" s="124"/>
      <c r="U23" s="124"/>
      <c r="V23" s="124"/>
      <c r="W23" s="124"/>
      <c r="X23" s="124"/>
    </row>
    <row r="24" spans="1:24">
      <c r="A24" s="150"/>
      <c r="B24" s="151" t="s">
        <v>249</v>
      </c>
      <c r="C24" s="152">
        <v>620</v>
      </c>
      <c r="D24" s="153">
        <v>52.43</v>
      </c>
      <c r="E24" s="154">
        <f>D24-C24</f>
        <v>-567.57000000000005</v>
      </c>
      <c r="F24" s="114">
        <f>D24/C24*100</f>
        <v>8.4564516129032263</v>
      </c>
      <c r="G24" s="122" t="s">
        <v>400</v>
      </c>
    </row>
    <row r="25" spans="1:24" ht="47.25">
      <c r="A25" s="150"/>
      <c r="B25" s="151" t="s">
        <v>250</v>
      </c>
      <c r="C25" s="155">
        <v>4</v>
      </c>
      <c r="D25" s="153">
        <v>4</v>
      </c>
      <c r="E25" s="141">
        <f>D25-C25</f>
        <v>0</v>
      </c>
      <c r="F25" s="114">
        <f>D25/C25*100</f>
        <v>100</v>
      </c>
      <c r="G25" s="122" t="s">
        <v>400</v>
      </c>
    </row>
    <row r="26" spans="1:24" ht="47.25">
      <c r="A26" s="150"/>
      <c r="B26" s="151" t="s">
        <v>251</v>
      </c>
      <c r="C26" s="152">
        <v>155</v>
      </c>
      <c r="D26" s="156">
        <f>D24/D25</f>
        <v>13.1075</v>
      </c>
      <c r="E26" s="141">
        <f>D26-C26</f>
        <v>-141.89250000000001</v>
      </c>
      <c r="F26" s="114">
        <f>D26/C26*100</f>
        <v>8.4564516129032263</v>
      </c>
      <c r="G26" s="122" t="s">
        <v>400</v>
      </c>
    </row>
    <row r="27" spans="1:24" ht="47.25">
      <c r="A27" s="150"/>
      <c r="B27" s="151" t="s">
        <v>252</v>
      </c>
      <c r="C27" s="155">
        <v>60</v>
      </c>
      <c r="D27" s="157">
        <v>29.3</v>
      </c>
      <c r="E27" s="141">
        <f>D27-C27</f>
        <v>-30.7</v>
      </c>
      <c r="F27" s="114">
        <f>D27/C27*100</f>
        <v>48.833333333333336</v>
      </c>
      <c r="G27" s="122" t="s">
        <v>400</v>
      </c>
    </row>
    <row r="28" spans="1:24" s="149" customFormat="1">
      <c r="A28" s="137" t="s">
        <v>253</v>
      </c>
      <c r="B28" s="1020" t="s">
        <v>54</v>
      </c>
      <c r="C28" s="1021"/>
      <c r="D28" s="1022"/>
      <c r="E28" s="1021"/>
      <c r="F28" s="1021"/>
      <c r="G28" s="1023"/>
      <c r="H28" s="124"/>
      <c r="I28" s="124"/>
      <c r="J28" s="124"/>
      <c r="K28" s="124"/>
      <c r="L28" s="124"/>
      <c r="M28" s="124"/>
      <c r="N28" s="124"/>
      <c r="O28" s="124"/>
      <c r="P28" s="124"/>
      <c r="Q28" s="124"/>
      <c r="R28" s="124"/>
      <c r="S28" s="124"/>
      <c r="T28" s="124"/>
      <c r="U28" s="124"/>
      <c r="V28" s="124"/>
      <c r="W28" s="124"/>
      <c r="X28" s="124"/>
    </row>
    <row r="29" spans="1:24" ht="63">
      <c r="A29" s="150"/>
      <c r="B29" s="151" t="s">
        <v>254</v>
      </c>
      <c r="C29" s="155">
        <v>4</v>
      </c>
      <c r="D29" s="148">
        <v>1</v>
      </c>
      <c r="E29" s="141">
        <f>D29-C29</f>
        <v>-3</v>
      </c>
      <c r="F29" s="114">
        <f>D29/C29*100</f>
        <v>25</v>
      </c>
      <c r="G29" s="122" t="s">
        <v>400</v>
      </c>
    </row>
    <row r="30" spans="1:24" ht="47.25">
      <c r="A30" s="150"/>
      <c r="B30" s="151" t="s">
        <v>255</v>
      </c>
      <c r="C30" s="152">
        <v>50</v>
      </c>
      <c r="D30" s="148">
        <v>0</v>
      </c>
      <c r="E30" s="141">
        <f>D30-C30</f>
        <v>-50</v>
      </c>
      <c r="F30" s="114">
        <f>D30/C30*100</f>
        <v>0</v>
      </c>
      <c r="G30" s="122" t="s">
        <v>400</v>
      </c>
    </row>
    <row r="31" spans="1:24">
      <c r="A31" s="158" t="s">
        <v>66</v>
      </c>
      <c r="B31" s="1017" t="s">
        <v>55</v>
      </c>
      <c r="C31" s="1018"/>
      <c r="D31" s="1018"/>
      <c r="E31" s="1018"/>
      <c r="F31" s="1018"/>
      <c r="G31" s="1019"/>
    </row>
    <row r="32" spans="1:24">
      <c r="A32" s="159"/>
      <c r="B32" s="123" t="s">
        <v>196</v>
      </c>
      <c r="C32" s="133">
        <v>1150</v>
      </c>
      <c r="D32" s="142">
        <v>241.1</v>
      </c>
      <c r="E32" s="133">
        <f>D32-C32</f>
        <v>-908.9</v>
      </c>
      <c r="F32" s="114">
        <f>D32/C32*100</f>
        <v>20.965217391304346</v>
      </c>
      <c r="G32" s="122" t="s">
        <v>400</v>
      </c>
    </row>
    <row r="33" spans="1:7" ht="47.25">
      <c r="A33" s="138"/>
      <c r="B33" s="123" t="s">
        <v>207</v>
      </c>
      <c r="C33" s="116">
        <v>3</v>
      </c>
      <c r="D33" s="117">
        <v>2</v>
      </c>
      <c r="E33" s="114">
        <f>D33-C33</f>
        <v>-1</v>
      </c>
      <c r="F33" s="114">
        <f>D33/C33*100</f>
        <v>66.666666666666657</v>
      </c>
      <c r="G33" s="122" t="s">
        <v>400</v>
      </c>
    </row>
    <row r="34" spans="1:7" ht="47.25">
      <c r="A34" s="138"/>
      <c r="B34" s="123" t="s">
        <v>208</v>
      </c>
      <c r="C34" s="133">
        <f>C32/C33</f>
        <v>383.33333333333331</v>
      </c>
      <c r="D34" s="133">
        <f>D32/D33</f>
        <v>120.55</v>
      </c>
      <c r="E34" s="133">
        <f>D34-C34</f>
        <v>-262.7833333333333</v>
      </c>
      <c r="F34" s="114">
        <f>D34/C34*100</f>
        <v>31.447826086956521</v>
      </c>
      <c r="G34" s="122" t="s">
        <v>400</v>
      </c>
    </row>
    <row r="35" spans="1:7" ht="47.25">
      <c r="A35" s="144"/>
      <c r="B35" s="123" t="s">
        <v>209</v>
      </c>
      <c r="C35" s="160">
        <v>40</v>
      </c>
      <c r="D35" s="161">
        <v>3.6</v>
      </c>
      <c r="E35" s="136">
        <f>D35-C35</f>
        <v>-36.4</v>
      </c>
      <c r="F35" s="114">
        <f>D35/C35*100</f>
        <v>9</v>
      </c>
      <c r="G35" s="122" t="s">
        <v>400</v>
      </c>
    </row>
    <row r="36" spans="1:7">
      <c r="A36" s="144" t="s">
        <v>256</v>
      </c>
      <c r="B36" s="999" t="s">
        <v>56</v>
      </c>
      <c r="C36" s="1000"/>
      <c r="D36" s="1000"/>
      <c r="E36" s="1000"/>
      <c r="F36" s="1000"/>
      <c r="G36" s="1001"/>
    </row>
    <row r="37" spans="1:7">
      <c r="A37" s="162"/>
      <c r="B37" s="151" t="s">
        <v>257</v>
      </c>
      <c r="C37" s="163">
        <v>80.28</v>
      </c>
      <c r="D37" s="164">
        <v>0</v>
      </c>
      <c r="E37" s="165">
        <f t="shared" ref="E37:E85" si="0">D37-C37</f>
        <v>-80.28</v>
      </c>
      <c r="F37" s="118">
        <f>D37/C37*100</f>
        <v>0</v>
      </c>
      <c r="G37" s="122" t="s">
        <v>400</v>
      </c>
    </row>
    <row r="38" spans="1:7" ht="48" customHeight="1">
      <c r="A38" s="162"/>
      <c r="B38" s="151" t="s">
        <v>258</v>
      </c>
      <c r="C38" s="155">
        <v>100</v>
      </c>
      <c r="D38" s="166">
        <v>0</v>
      </c>
      <c r="E38" s="136">
        <f t="shared" si="0"/>
        <v>-100</v>
      </c>
      <c r="F38" s="114">
        <f>D38/C38*100</f>
        <v>0</v>
      </c>
      <c r="G38" s="122" t="s">
        <v>400</v>
      </c>
    </row>
    <row r="39" spans="1:7" ht="39" customHeight="1">
      <c r="A39" s="162"/>
      <c r="B39" s="151" t="s">
        <v>259</v>
      </c>
      <c r="C39" s="155">
        <v>0.8</v>
      </c>
      <c r="D39" s="166">
        <v>0</v>
      </c>
      <c r="E39" s="136">
        <f t="shared" si="0"/>
        <v>-0.8</v>
      </c>
      <c r="F39" s="114">
        <f>D39/C39*100</f>
        <v>0</v>
      </c>
      <c r="G39" s="122" t="s">
        <v>400</v>
      </c>
    </row>
    <row r="40" spans="1:7" ht="63">
      <c r="A40" s="162"/>
      <c r="B40" s="151" t="s">
        <v>260</v>
      </c>
      <c r="C40" s="155">
        <v>0.41</v>
      </c>
      <c r="D40" s="166">
        <v>0</v>
      </c>
      <c r="E40" s="136">
        <f t="shared" si="0"/>
        <v>-0.41</v>
      </c>
      <c r="F40" s="114">
        <f>D40/C40*100</f>
        <v>0</v>
      </c>
      <c r="G40" s="122" t="s">
        <v>400</v>
      </c>
    </row>
    <row r="41" spans="1:7" ht="32.25" customHeight="1">
      <c r="A41" s="162" t="s">
        <v>261</v>
      </c>
      <c r="B41" s="999" t="s">
        <v>57</v>
      </c>
      <c r="C41" s="1000"/>
      <c r="D41" s="1000"/>
      <c r="E41" s="1000"/>
      <c r="F41" s="1000"/>
      <c r="G41" s="1001"/>
    </row>
    <row r="42" spans="1:7" ht="18.75">
      <c r="A42" s="162"/>
      <c r="B42" s="151" t="s">
        <v>257</v>
      </c>
      <c r="C42" s="163">
        <v>635</v>
      </c>
      <c r="D42" s="167">
        <v>333.16</v>
      </c>
      <c r="E42" s="165">
        <f t="shared" si="0"/>
        <v>-301.83999999999997</v>
      </c>
      <c r="F42" s="114">
        <f>D42/C42*100</f>
        <v>52.466141732283468</v>
      </c>
      <c r="G42" s="122" t="s">
        <v>400</v>
      </c>
    </row>
    <row r="43" spans="1:7" ht="47.25">
      <c r="A43" s="162"/>
      <c r="B43" s="151" t="s">
        <v>262</v>
      </c>
      <c r="C43" s="155">
        <v>150</v>
      </c>
      <c r="D43" s="168">
        <v>8</v>
      </c>
      <c r="E43" s="136">
        <f t="shared" si="0"/>
        <v>-142</v>
      </c>
      <c r="F43" s="114">
        <f>D43/C43*100</f>
        <v>5.3333333333333339</v>
      </c>
      <c r="G43" s="122" t="s">
        <v>400</v>
      </c>
    </row>
    <row r="44" spans="1:7" ht="63" customHeight="1">
      <c r="A44" s="162"/>
      <c r="B44" s="151" t="s">
        <v>263</v>
      </c>
      <c r="C44" s="152">
        <v>4.2300000000000004</v>
      </c>
      <c r="D44" s="153">
        <f>D42/D43</f>
        <v>41.645000000000003</v>
      </c>
      <c r="E44" s="136">
        <f t="shared" si="0"/>
        <v>37.415000000000006</v>
      </c>
      <c r="F44" s="114">
        <f>D44/C44*100</f>
        <v>984.51536643025997</v>
      </c>
      <c r="G44" s="122" t="s">
        <v>400</v>
      </c>
    </row>
    <row r="45" spans="1:7" ht="78.75">
      <c r="A45" s="162"/>
      <c r="B45" s="151" t="s">
        <v>264</v>
      </c>
      <c r="C45" s="155">
        <v>50</v>
      </c>
      <c r="D45" s="168">
        <v>98</v>
      </c>
      <c r="E45" s="136">
        <f t="shared" si="0"/>
        <v>48</v>
      </c>
      <c r="F45" s="114">
        <f>D45/C45*100</f>
        <v>196</v>
      </c>
      <c r="G45" s="122" t="s">
        <v>400</v>
      </c>
    </row>
    <row r="46" spans="1:7">
      <c r="A46" s="138" t="s">
        <v>265</v>
      </c>
      <c r="B46" s="999" t="s">
        <v>269</v>
      </c>
      <c r="C46" s="1000"/>
      <c r="D46" s="1000"/>
      <c r="E46" s="1000"/>
      <c r="F46" s="1000"/>
      <c r="G46" s="1001"/>
    </row>
    <row r="47" spans="1:7">
      <c r="A47" s="169"/>
      <c r="B47" s="151" t="s">
        <v>257</v>
      </c>
      <c r="C47" s="170">
        <v>3039.29</v>
      </c>
      <c r="D47" s="171">
        <f>D50+D54+D58</f>
        <v>1870.68</v>
      </c>
      <c r="E47" s="165">
        <f t="shared" si="0"/>
        <v>-1168.6099999999999</v>
      </c>
      <c r="F47" s="114">
        <f>D47/C47*100</f>
        <v>61.549901457248247</v>
      </c>
      <c r="G47" s="122" t="s">
        <v>400</v>
      </c>
    </row>
    <row r="48" spans="1:7" ht="31.5">
      <c r="A48" s="172"/>
      <c r="B48" s="151" t="s">
        <v>267</v>
      </c>
      <c r="C48" s="152">
        <v>1550</v>
      </c>
      <c r="D48" s="143">
        <v>1056</v>
      </c>
      <c r="E48" s="136">
        <f t="shared" si="0"/>
        <v>-494</v>
      </c>
      <c r="F48" s="114">
        <f>D48/C48*100</f>
        <v>68.129032258064512</v>
      </c>
      <c r="G48" s="122" t="s">
        <v>400</v>
      </c>
    </row>
    <row r="49" spans="1:7" ht="31.5">
      <c r="A49" s="172"/>
      <c r="B49" s="173" t="s">
        <v>275</v>
      </c>
      <c r="C49" s="116"/>
      <c r="D49" s="166"/>
      <c r="E49" s="136"/>
      <c r="F49" s="114"/>
      <c r="G49" s="122" t="s">
        <v>400</v>
      </c>
    </row>
    <row r="50" spans="1:7">
      <c r="A50" s="172"/>
      <c r="B50" s="151" t="s">
        <v>257</v>
      </c>
      <c r="C50" s="152">
        <v>1652.29</v>
      </c>
      <c r="D50" s="166">
        <v>1870.68</v>
      </c>
      <c r="E50" s="136">
        <f t="shared" si="0"/>
        <v>218.3900000000001</v>
      </c>
      <c r="F50" s="114">
        <f>D50/C50*100</f>
        <v>113.21741340805791</v>
      </c>
      <c r="G50" s="122" t="s">
        <v>400</v>
      </c>
    </row>
    <row r="51" spans="1:7" ht="31.5">
      <c r="A51" s="172"/>
      <c r="B51" s="151" t="s">
        <v>271</v>
      </c>
      <c r="C51" s="152">
        <v>900</v>
      </c>
      <c r="D51" s="166">
        <v>1056</v>
      </c>
      <c r="E51" s="136">
        <f t="shared" si="0"/>
        <v>156</v>
      </c>
      <c r="F51" s="114">
        <f>D51/C51*100</f>
        <v>117.33333333333333</v>
      </c>
      <c r="G51" s="122" t="s">
        <v>400</v>
      </c>
    </row>
    <row r="52" spans="1:7" ht="60.75" customHeight="1">
      <c r="A52" s="172"/>
      <c r="B52" s="151" t="s">
        <v>272</v>
      </c>
      <c r="C52" s="174">
        <f>C50/C51</f>
        <v>1.8358777777777777</v>
      </c>
      <c r="D52" s="166">
        <f>D50/D51</f>
        <v>1.7714772727272727</v>
      </c>
      <c r="E52" s="136">
        <f t="shared" si="0"/>
        <v>-6.4400505050504986E-2</v>
      </c>
      <c r="F52" s="114">
        <f>D52/C52*100</f>
        <v>96.492113700049359</v>
      </c>
      <c r="G52" s="122" t="s">
        <v>400</v>
      </c>
    </row>
    <row r="53" spans="1:7" ht="33.75" customHeight="1">
      <c r="A53" s="172"/>
      <c r="B53" s="1029" t="s">
        <v>268</v>
      </c>
      <c r="C53" s="1030"/>
      <c r="D53" s="1030"/>
      <c r="E53" s="1030"/>
      <c r="F53" s="1030"/>
      <c r="G53" s="1031"/>
    </row>
    <row r="54" spans="1:7">
      <c r="A54" s="172"/>
      <c r="B54" s="151" t="s">
        <v>257</v>
      </c>
      <c r="C54" s="175">
        <v>511</v>
      </c>
      <c r="D54" s="164">
        <v>0</v>
      </c>
      <c r="E54" s="165">
        <f t="shared" si="0"/>
        <v>-511</v>
      </c>
      <c r="F54" s="114">
        <f>D54/C54*100</f>
        <v>0</v>
      </c>
      <c r="G54" s="122" t="s">
        <v>400</v>
      </c>
    </row>
    <row r="55" spans="1:7" ht="31.5">
      <c r="A55" s="172"/>
      <c r="B55" s="176" t="s">
        <v>273</v>
      </c>
      <c r="C55" s="152">
        <v>500</v>
      </c>
      <c r="D55" s="166">
        <v>0</v>
      </c>
      <c r="E55" s="136">
        <f t="shared" si="0"/>
        <v>-500</v>
      </c>
      <c r="F55" s="114">
        <f>D55/C55*100</f>
        <v>0</v>
      </c>
      <c r="G55" s="122" t="s">
        <v>400</v>
      </c>
    </row>
    <row r="56" spans="1:7" ht="47.25">
      <c r="A56" s="172"/>
      <c r="B56" s="176" t="s">
        <v>274</v>
      </c>
      <c r="C56" s="152">
        <f>C54/C55</f>
        <v>1.022</v>
      </c>
      <c r="D56" s="166">
        <v>0</v>
      </c>
      <c r="E56" s="136">
        <f t="shared" si="0"/>
        <v>-1.022</v>
      </c>
      <c r="F56" s="114">
        <f>D56/C56*100</f>
        <v>0</v>
      </c>
      <c r="G56" s="122" t="s">
        <v>400</v>
      </c>
    </row>
    <row r="57" spans="1:7">
      <c r="A57" s="172"/>
      <c r="B57" s="1033" t="s">
        <v>276</v>
      </c>
      <c r="C57" s="1034"/>
      <c r="D57" s="1034"/>
      <c r="E57" s="1034"/>
      <c r="F57" s="1034"/>
      <c r="G57" s="1035"/>
    </row>
    <row r="58" spans="1:7" ht="177" customHeight="1">
      <c r="A58" s="172"/>
      <c r="B58" s="176" t="s">
        <v>266</v>
      </c>
      <c r="C58" s="174">
        <v>876</v>
      </c>
      <c r="D58" s="166">
        <v>0</v>
      </c>
      <c r="E58" s="136">
        <f t="shared" si="0"/>
        <v>-876</v>
      </c>
      <c r="F58" s="114">
        <f>D58/C58*100</f>
        <v>0</v>
      </c>
      <c r="G58" s="177" t="s">
        <v>388</v>
      </c>
    </row>
    <row r="59" spans="1:7" ht="31.5">
      <c r="A59" s="172"/>
      <c r="B59" s="178" t="s">
        <v>277</v>
      </c>
      <c r="C59" s="179">
        <v>150</v>
      </c>
      <c r="D59" s="166">
        <v>0</v>
      </c>
      <c r="E59" s="136">
        <f t="shared" si="0"/>
        <v>-150</v>
      </c>
      <c r="F59" s="114">
        <f>D59/C59*100</f>
        <v>0</v>
      </c>
      <c r="G59" s="122" t="s">
        <v>400</v>
      </c>
    </row>
    <row r="60" spans="1:7" ht="47.25">
      <c r="A60" s="172"/>
      <c r="B60" s="180" t="s">
        <v>278</v>
      </c>
      <c r="C60" s="155">
        <f>C58/C59</f>
        <v>5.84</v>
      </c>
      <c r="D60" s="166">
        <v>0</v>
      </c>
      <c r="E60" s="136">
        <f t="shared" si="0"/>
        <v>-5.84</v>
      </c>
      <c r="F60" s="114">
        <f>D60/C60*100</f>
        <v>0</v>
      </c>
      <c r="G60" s="122" t="s">
        <v>400</v>
      </c>
    </row>
    <row r="61" spans="1:7" ht="50.25" customHeight="1">
      <c r="A61" s="172"/>
      <c r="B61" s="176" t="s">
        <v>270</v>
      </c>
      <c r="C61" s="181">
        <v>4.5</v>
      </c>
      <c r="D61" s="182">
        <v>3.1</v>
      </c>
      <c r="E61" s="145">
        <f t="shared" si="0"/>
        <v>-1.4</v>
      </c>
      <c r="F61" s="114">
        <f>D61/C61*100</f>
        <v>68.888888888888886</v>
      </c>
      <c r="G61" s="122" t="s">
        <v>400</v>
      </c>
    </row>
    <row r="62" spans="1:7">
      <c r="A62" s="172" t="s">
        <v>69</v>
      </c>
      <c r="B62" s="999" t="s">
        <v>70</v>
      </c>
      <c r="C62" s="1000"/>
      <c r="D62" s="1000"/>
      <c r="E62" s="1000"/>
      <c r="F62" s="1000"/>
      <c r="G62" s="1001"/>
    </row>
    <row r="63" spans="1:7" ht="233.25" customHeight="1">
      <c r="A63" s="162"/>
      <c r="B63" s="178" t="s">
        <v>279</v>
      </c>
      <c r="C63" s="179">
        <v>125.04</v>
      </c>
      <c r="D63" s="161">
        <v>0</v>
      </c>
      <c r="E63" s="136">
        <f t="shared" si="0"/>
        <v>-125.04</v>
      </c>
      <c r="F63" s="114">
        <f>D63/C63*100</f>
        <v>0</v>
      </c>
      <c r="G63" s="122" t="s">
        <v>389</v>
      </c>
    </row>
    <row r="64" spans="1:7" ht="31.5">
      <c r="A64" s="144"/>
      <c r="B64" s="183" t="s">
        <v>280</v>
      </c>
      <c r="C64" s="179">
        <v>750</v>
      </c>
      <c r="D64" s="161">
        <v>268</v>
      </c>
      <c r="E64" s="136">
        <f t="shared" si="0"/>
        <v>-482</v>
      </c>
      <c r="F64" s="114">
        <f>D64/C64*100</f>
        <v>35.733333333333334</v>
      </c>
      <c r="G64" s="122" t="s">
        <v>400</v>
      </c>
    </row>
    <row r="65" spans="1:7" ht="31.5">
      <c r="A65" s="144"/>
      <c r="B65" s="183" t="s">
        <v>281</v>
      </c>
      <c r="C65" s="184">
        <f>C63/C64</f>
        <v>0.16672000000000001</v>
      </c>
      <c r="D65" s="161">
        <v>0</v>
      </c>
      <c r="E65" s="136">
        <f t="shared" si="0"/>
        <v>-0.16672000000000001</v>
      </c>
      <c r="F65" s="114">
        <f>D65/C65*100</f>
        <v>0</v>
      </c>
      <c r="G65" s="122" t="s">
        <v>400</v>
      </c>
    </row>
    <row r="66" spans="1:7" ht="63">
      <c r="A66" s="144"/>
      <c r="B66" s="183" t="s">
        <v>282</v>
      </c>
      <c r="C66" s="179">
        <v>100</v>
      </c>
      <c r="D66" s="161">
        <v>43.6</v>
      </c>
      <c r="E66" s="136">
        <f t="shared" si="0"/>
        <v>-56.4</v>
      </c>
      <c r="F66" s="114">
        <f>D66/C66*100</f>
        <v>43.6</v>
      </c>
      <c r="G66" s="122" t="s">
        <v>400</v>
      </c>
    </row>
    <row r="67" spans="1:7">
      <c r="A67" s="144" t="s">
        <v>283</v>
      </c>
      <c r="B67" s="999" t="s">
        <v>6</v>
      </c>
      <c r="C67" s="1000"/>
      <c r="D67" s="1000"/>
      <c r="E67" s="1000"/>
      <c r="F67" s="1000"/>
      <c r="G67" s="1001"/>
    </row>
    <row r="68" spans="1:7" ht="34.5" customHeight="1">
      <c r="A68" s="169"/>
      <c r="B68" s="206" t="s">
        <v>72</v>
      </c>
      <c r="C68" s="160"/>
      <c r="D68" s="161"/>
      <c r="E68" s="136"/>
      <c r="F68" s="114"/>
      <c r="G68" s="115"/>
    </row>
    <row r="69" spans="1:7" ht="18.75">
      <c r="A69" s="169"/>
      <c r="B69" s="151" t="s">
        <v>257</v>
      </c>
      <c r="C69" s="152">
        <v>2902.74</v>
      </c>
      <c r="D69" s="168">
        <v>1016.67</v>
      </c>
      <c r="E69" s="186">
        <f t="shared" si="0"/>
        <v>-1886.0699999999997</v>
      </c>
      <c r="F69" s="114">
        <f>D69/C69*100</f>
        <v>35.024494098679185</v>
      </c>
      <c r="G69" s="122" t="s">
        <v>400</v>
      </c>
    </row>
    <row r="70" spans="1:7" ht="31.5">
      <c r="A70" s="169"/>
      <c r="B70" s="151" t="s">
        <v>284</v>
      </c>
      <c r="C70" s="155">
        <v>35000</v>
      </c>
      <c r="D70" s="168">
        <v>19512</v>
      </c>
      <c r="E70" s="186">
        <f t="shared" si="0"/>
        <v>-15488</v>
      </c>
      <c r="F70" s="114">
        <f>D70/C70*100</f>
        <v>55.748571428571424</v>
      </c>
      <c r="G70" s="122" t="s">
        <v>400</v>
      </c>
    </row>
    <row r="71" spans="1:7" ht="31.5">
      <c r="A71" s="169"/>
      <c r="B71" s="151" t="s">
        <v>285</v>
      </c>
      <c r="C71" s="174">
        <f>C69/C70</f>
        <v>8.2935428571428563E-2</v>
      </c>
      <c r="D71" s="168">
        <v>0.05</v>
      </c>
      <c r="E71" s="186">
        <f t="shared" si="0"/>
        <v>-3.293542857142856E-2</v>
      </c>
      <c r="F71" s="114">
        <f>D71/C71*100</f>
        <v>60.287865947346312</v>
      </c>
      <c r="G71" s="122" t="s">
        <v>400</v>
      </c>
    </row>
    <row r="72" spans="1:7" ht="63">
      <c r="A72" s="169"/>
      <c r="B72" s="151" t="s">
        <v>286</v>
      </c>
      <c r="C72" s="152">
        <v>100</v>
      </c>
      <c r="D72" s="168">
        <v>100</v>
      </c>
      <c r="E72" s="186">
        <f t="shared" si="0"/>
        <v>0</v>
      </c>
      <c r="F72" s="114">
        <f>D72/C72*100</f>
        <v>100</v>
      </c>
      <c r="G72" s="122" t="s">
        <v>400</v>
      </c>
    </row>
    <row r="73" spans="1:7">
      <c r="A73" s="169"/>
      <c r="B73" s="999" t="s">
        <v>73</v>
      </c>
      <c r="C73" s="1000"/>
      <c r="D73" s="1000"/>
      <c r="E73" s="1000"/>
      <c r="F73" s="1000"/>
      <c r="G73" s="1001"/>
    </row>
    <row r="74" spans="1:7" ht="227.25" customHeight="1">
      <c r="A74" s="169"/>
      <c r="B74" s="176" t="s">
        <v>287</v>
      </c>
      <c r="C74" s="163">
        <v>1714.58</v>
      </c>
      <c r="D74" s="187">
        <v>219.21</v>
      </c>
      <c r="E74" s="188">
        <f t="shared" si="0"/>
        <v>-1495.37</v>
      </c>
      <c r="F74" s="118">
        <f>D74/C74*100</f>
        <v>12.785055232185142</v>
      </c>
      <c r="G74" s="122" t="s">
        <v>401</v>
      </c>
    </row>
    <row r="75" spans="1:7" ht="63">
      <c r="A75" s="169"/>
      <c r="B75" s="151" t="s">
        <v>288</v>
      </c>
      <c r="C75" s="155">
        <v>300</v>
      </c>
      <c r="D75" s="189">
        <v>132</v>
      </c>
      <c r="E75" s="186">
        <f t="shared" si="0"/>
        <v>-168</v>
      </c>
      <c r="F75" s="114">
        <f>D75/C75*100</f>
        <v>44</v>
      </c>
      <c r="G75" s="122" t="s">
        <v>400</v>
      </c>
    </row>
    <row r="76" spans="1:7" ht="47.25">
      <c r="A76" s="169"/>
      <c r="B76" s="151" t="s">
        <v>289</v>
      </c>
      <c r="C76" s="181">
        <f>C74/C75</f>
        <v>5.7152666666666665</v>
      </c>
      <c r="D76" s="189">
        <v>1.66</v>
      </c>
      <c r="E76" s="186">
        <f t="shared" si="0"/>
        <v>-4.0552666666666664</v>
      </c>
      <c r="F76" s="114">
        <f>D76/C76*100</f>
        <v>29.045013939273755</v>
      </c>
      <c r="G76" s="122" t="s">
        <v>400</v>
      </c>
    </row>
    <row r="77" spans="1:7" ht="84" customHeight="1">
      <c r="A77" s="169"/>
      <c r="B77" s="151" t="s">
        <v>290</v>
      </c>
      <c r="C77" s="152">
        <v>100</v>
      </c>
      <c r="D77" s="189">
        <v>55.2</v>
      </c>
      <c r="E77" s="186">
        <f t="shared" si="0"/>
        <v>-44.8</v>
      </c>
      <c r="F77" s="114">
        <f>D77/C77*100</f>
        <v>55.2</v>
      </c>
      <c r="G77" s="122" t="s">
        <v>400</v>
      </c>
    </row>
    <row r="78" spans="1:7">
      <c r="A78" s="169"/>
      <c r="B78" s="999" t="s">
        <v>74</v>
      </c>
      <c r="C78" s="1000"/>
      <c r="D78" s="1000"/>
      <c r="E78" s="1000"/>
      <c r="F78" s="1000"/>
      <c r="G78" s="1001"/>
    </row>
    <row r="79" spans="1:7" ht="63">
      <c r="A79" s="169"/>
      <c r="B79" s="151" t="s">
        <v>291</v>
      </c>
      <c r="C79" s="155">
        <v>300</v>
      </c>
      <c r="D79" s="143">
        <v>100</v>
      </c>
      <c r="E79" s="136">
        <f t="shared" si="0"/>
        <v>-200</v>
      </c>
      <c r="F79" s="114">
        <f>D79/C79*100</f>
        <v>33.333333333333329</v>
      </c>
      <c r="G79" s="122" t="s">
        <v>400</v>
      </c>
    </row>
    <row r="80" spans="1:7" ht="78.75">
      <c r="A80" s="169"/>
      <c r="B80" s="151" t="s">
        <v>295</v>
      </c>
      <c r="C80" s="152">
        <v>99.5</v>
      </c>
      <c r="D80" s="161">
        <v>100</v>
      </c>
      <c r="E80" s="136">
        <f t="shared" si="0"/>
        <v>0.5</v>
      </c>
      <c r="F80" s="114">
        <f>D80/C80*100</f>
        <v>100.50251256281406</v>
      </c>
      <c r="G80" s="122" t="s">
        <v>400</v>
      </c>
    </row>
    <row r="81" spans="1:24" ht="39" customHeight="1">
      <c r="A81" s="169" t="s">
        <v>75</v>
      </c>
      <c r="B81" s="1029" t="s">
        <v>76</v>
      </c>
      <c r="C81" s="1030"/>
      <c r="D81" s="1030"/>
      <c r="E81" s="1030"/>
      <c r="F81" s="1030"/>
      <c r="G81" s="1031"/>
    </row>
    <row r="82" spans="1:24">
      <c r="A82" s="169"/>
      <c r="B82" s="151" t="s">
        <v>249</v>
      </c>
      <c r="C82" s="175">
        <v>150</v>
      </c>
      <c r="D82" s="161">
        <v>22.44</v>
      </c>
      <c r="E82" s="165">
        <f t="shared" si="0"/>
        <v>-127.56</v>
      </c>
      <c r="F82" s="118">
        <f>D82/C82*100</f>
        <v>14.96</v>
      </c>
      <c r="G82" s="122" t="s">
        <v>400</v>
      </c>
    </row>
    <row r="83" spans="1:24" ht="63">
      <c r="A83" s="169"/>
      <c r="B83" s="151" t="s">
        <v>292</v>
      </c>
      <c r="C83" s="155">
        <v>60</v>
      </c>
      <c r="D83" s="161">
        <v>294</v>
      </c>
      <c r="E83" s="136">
        <f t="shared" si="0"/>
        <v>234</v>
      </c>
      <c r="F83" s="114">
        <f>D83/C83*100</f>
        <v>490.00000000000006</v>
      </c>
      <c r="G83" s="122" t="s">
        <v>400</v>
      </c>
    </row>
    <row r="84" spans="1:24" ht="31.5">
      <c r="A84" s="169"/>
      <c r="B84" s="151" t="s">
        <v>293</v>
      </c>
      <c r="C84" s="181">
        <f>C82/C83</f>
        <v>2.5</v>
      </c>
      <c r="D84" s="161">
        <f>D82/D83</f>
        <v>7.6326530612244897E-2</v>
      </c>
      <c r="E84" s="136">
        <f t="shared" si="0"/>
        <v>-2.4236734693877553</v>
      </c>
      <c r="F84" s="114">
        <f>D84/C84*100</f>
        <v>3.0530612244897957</v>
      </c>
      <c r="G84" s="122" t="s">
        <v>400</v>
      </c>
    </row>
    <row r="85" spans="1:24" ht="47.25">
      <c r="A85" s="169"/>
      <c r="B85" s="151" t="s">
        <v>294</v>
      </c>
      <c r="C85" s="155">
        <v>75</v>
      </c>
      <c r="D85" s="161">
        <v>0</v>
      </c>
      <c r="E85" s="136">
        <f t="shared" si="0"/>
        <v>-75</v>
      </c>
      <c r="F85" s="114">
        <f>D85/C85*100</f>
        <v>0</v>
      </c>
      <c r="G85" s="122" t="s">
        <v>400</v>
      </c>
    </row>
    <row r="86" spans="1:24">
      <c r="A86" s="128" t="s">
        <v>78</v>
      </c>
      <c r="B86" s="996" t="s">
        <v>77</v>
      </c>
      <c r="C86" s="997"/>
      <c r="D86" s="997"/>
      <c r="E86" s="997"/>
      <c r="F86" s="997"/>
      <c r="G86" s="998"/>
    </row>
    <row r="87" spans="1:24" ht="23.25" customHeight="1">
      <c r="A87" s="190" t="s">
        <v>296</v>
      </c>
      <c r="B87" s="999" t="s">
        <v>79</v>
      </c>
      <c r="C87" s="1000"/>
      <c r="D87" s="1000"/>
      <c r="E87" s="1000"/>
      <c r="F87" s="1000"/>
      <c r="G87" s="1001"/>
    </row>
    <row r="88" spans="1:24" ht="132.75" customHeight="1">
      <c r="A88" s="128"/>
      <c r="B88" s="176" t="s">
        <v>249</v>
      </c>
      <c r="C88" s="155">
        <v>6653.18</v>
      </c>
      <c r="D88" s="191">
        <v>585.12</v>
      </c>
      <c r="E88" s="191">
        <f>D88-C88</f>
        <v>-6068.06</v>
      </c>
      <c r="F88" s="192">
        <f>D88/C88*100</f>
        <v>8.7945914585205873</v>
      </c>
      <c r="G88" s="193" t="s">
        <v>393</v>
      </c>
    </row>
    <row r="89" spans="1:24">
      <c r="A89" s="128"/>
      <c r="B89" s="151" t="s">
        <v>238</v>
      </c>
      <c r="C89" s="163"/>
      <c r="D89" s="194"/>
      <c r="E89" s="194"/>
      <c r="F89" s="195"/>
      <c r="G89" s="193"/>
    </row>
    <row r="90" spans="1:24">
      <c r="A90" s="128"/>
      <c r="B90" s="196" t="s">
        <v>240</v>
      </c>
      <c r="C90" s="152">
        <v>160000</v>
      </c>
      <c r="D90" s="191">
        <v>55311</v>
      </c>
      <c r="E90" s="191">
        <f t="shared" ref="E90:E113" si="1">D90-C90</f>
        <v>-104689</v>
      </c>
      <c r="F90" s="192">
        <f t="shared" ref="F90:F113" si="2">D90/C90*100</f>
        <v>34.569375000000001</v>
      </c>
      <c r="G90" s="122" t="s">
        <v>400</v>
      </c>
    </row>
    <row r="91" spans="1:24">
      <c r="A91" s="128"/>
      <c r="B91" s="196" t="s">
        <v>239</v>
      </c>
      <c r="C91" s="152">
        <v>3520</v>
      </c>
      <c r="D91" s="191">
        <v>1685</v>
      </c>
      <c r="E91" s="191">
        <f t="shared" si="1"/>
        <v>-1835</v>
      </c>
      <c r="F91" s="192">
        <f t="shared" si="2"/>
        <v>47.86931818181818</v>
      </c>
      <c r="G91" s="122" t="s">
        <v>400</v>
      </c>
    </row>
    <row r="92" spans="1:24" s="198" customFormat="1" ht="48" customHeight="1">
      <c r="A92" s="197" t="s">
        <v>297</v>
      </c>
      <c r="B92" s="999" t="s">
        <v>326</v>
      </c>
      <c r="C92" s="1000"/>
      <c r="D92" s="1000"/>
      <c r="E92" s="1000"/>
      <c r="F92" s="1000"/>
      <c r="G92" s="1001"/>
      <c r="H92" s="124"/>
      <c r="I92" s="124"/>
      <c r="J92" s="124"/>
      <c r="K92" s="124"/>
      <c r="L92" s="124"/>
      <c r="M92" s="124"/>
      <c r="N92" s="124"/>
      <c r="O92" s="124"/>
      <c r="P92" s="124"/>
      <c r="Q92" s="124"/>
      <c r="R92" s="124"/>
      <c r="S92" s="124"/>
      <c r="T92" s="124"/>
      <c r="U92" s="124"/>
      <c r="V92" s="124"/>
      <c r="W92" s="124"/>
      <c r="X92" s="124"/>
    </row>
    <row r="93" spans="1:24" ht="47.25">
      <c r="A93" s="128"/>
      <c r="B93" s="183" t="s">
        <v>304</v>
      </c>
      <c r="C93" s="199">
        <v>33</v>
      </c>
      <c r="D93" s="191">
        <v>58</v>
      </c>
      <c r="E93" s="191">
        <f t="shared" si="1"/>
        <v>25</v>
      </c>
      <c r="F93" s="192">
        <f t="shared" si="2"/>
        <v>175.75757575757575</v>
      </c>
      <c r="G93" s="122" t="s">
        <v>403</v>
      </c>
    </row>
    <row r="94" spans="1:24" ht="47.25">
      <c r="A94" s="200"/>
      <c r="B94" s="151" t="s">
        <v>305</v>
      </c>
      <c r="C94" s="155">
        <v>40</v>
      </c>
      <c r="D94" s="201">
        <v>0</v>
      </c>
      <c r="E94" s="191">
        <f t="shared" si="1"/>
        <v>-40</v>
      </c>
      <c r="F94" s="191">
        <f t="shared" si="2"/>
        <v>0</v>
      </c>
      <c r="G94" s="122" t="s">
        <v>403</v>
      </c>
    </row>
    <row r="95" spans="1:24" s="198" customFormat="1" ht="25.5" customHeight="1">
      <c r="A95" s="197" t="s">
        <v>298</v>
      </c>
      <c r="B95" s="999" t="s">
        <v>82</v>
      </c>
      <c r="C95" s="1000"/>
      <c r="D95" s="1000"/>
      <c r="E95" s="1000"/>
      <c r="F95" s="1000"/>
      <c r="G95" s="1001"/>
      <c r="H95" s="124"/>
      <c r="I95" s="124"/>
      <c r="J95" s="124"/>
      <c r="K95" s="124"/>
      <c r="L95" s="124"/>
      <c r="M95" s="124"/>
      <c r="N95" s="124"/>
      <c r="O95" s="124"/>
      <c r="P95" s="124"/>
      <c r="Q95" s="124"/>
      <c r="R95" s="124"/>
      <c r="S95" s="124"/>
      <c r="T95" s="124"/>
      <c r="U95" s="124"/>
      <c r="V95" s="124"/>
      <c r="W95" s="124"/>
      <c r="X95" s="124"/>
    </row>
    <row r="96" spans="1:24" ht="54" customHeight="1">
      <c r="A96" s="128"/>
      <c r="B96" s="151" t="s">
        <v>300</v>
      </c>
      <c r="C96" s="152">
        <v>10</v>
      </c>
      <c r="D96" s="191">
        <v>3</v>
      </c>
      <c r="E96" s="191">
        <f t="shared" si="1"/>
        <v>-7</v>
      </c>
      <c r="F96" s="191">
        <f t="shared" si="2"/>
        <v>30</v>
      </c>
      <c r="G96" s="122" t="s">
        <v>400</v>
      </c>
    </row>
    <row r="97" spans="1:24" ht="75" customHeight="1">
      <c r="A97" s="128"/>
      <c r="B97" s="151" t="s">
        <v>301</v>
      </c>
      <c r="C97" s="152">
        <v>40</v>
      </c>
      <c r="D97" s="191">
        <v>12</v>
      </c>
      <c r="E97" s="191">
        <f t="shared" si="1"/>
        <v>-28</v>
      </c>
      <c r="F97" s="191">
        <f t="shared" si="2"/>
        <v>30</v>
      </c>
      <c r="G97" s="122" t="s">
        <v>400</v>
      </c>
    </row>
    <row r="98" spans="1:24" s="198" customFormat="1" ht="38.25" customHeight="1">
      <c r="A98" s="197" t="s">
        <v>299</v>
      </c>
      <c r="B98" s="999" t="s">
        <v>84</v>
      </c>
      <c r="C98" s="1000"/>
      <c r="D98" s="1000"/>
      <c r="E98" s="1000"/>
      <c r="F98" s="1000"/>
      <c r="G98" s="1001"/>
      <c r="H98" s="124"/>
      <c r="I98" s="124"/>
      <c r="J98" s="124"/>
      <c r="K98" s="124"/>
      <c r="L98" s="124"/>
      <c r="M98" s="124"/>
      <c r="N98" s="124"/>
      <c r="O98" s="124"/>
      <c r="P98" s="124"/>
      <c r="Q98" s="124"/>
      <c r="R98" s="124"/>
      <c r="S98" s="124"/>
      <c r="T98" s="124"/>
      <c r="U98" s="124"/>
      <c r="V98" s="124"/>
      <c r="W98" s="124"/>
      <c r="X98" s="124"/>
    </row>
    <row r="99" spans="1:24" ht="47.25">
      <c r="A99" s="128"/>
      <c r="B99" s="183" t="s">
        <v>302</v>
      </c>
      <c r="C99" s="179">
        <v>25</v>
      </c>
      <c r="D99" s="191">
        <v>0</v>
      </c>
      <c r="E99" s="191">
        <f t="shared" si="1"/>
        <v>-25</v>
      </c>
      <c r="F99" s="191">
        <f t="shared" si="2"/>
        <v>0</v>
      </c>
      <c r="G99" s="122" t="s">
        <v>400</v>
      </c>
    </row>
    <row r="100" spans="1:24" ht="47.25">
      <c r="A100" s="200"/>
      <c r="B100" s="151" t="s">
        <v>303</v>
      </c>
      <c r="C100" s="152">
        <v>50</v>
      </c>
      <c r="D100" s="201">
        <v>0</v>
      </c>
      <c r="E100" s="191">
        <f t="shared" si="1"/>
        <v>-50</v>
      </c>
      <c r="F100" s="191">
        <f t="shared" si="2"/>
        <v>0</v>
      </c>
      <c r="G100" s="122" t="s">
        <v>400</v>
      </c>
    </row>
    <row r="101" spans="1:24" s="198" customFormat="1" ht="21.75" customHeight="1">
      <c r="A101" s="197" t="s">
        <v>306</v>
      </c>
      <c r="B101" s="999" t="s">
        <v>86</v>
      </c>
      <c r="C101" s="1000"/>
      <c r="D101" s="1000"/>
      <c r="E101" s="1000"/>
      <c r="F101" s="1000"/>
      <c r="G101" s="1001"/>
      <c r="H101" s="124"/>
      <c r="I101" s="124"/>
      <c r="J101" s="124"/>
      <c r="K101" s="124"/>
      <c r="L101" s="124"/>
      <c r="M101" s="124"/>
      <c r="N101" s="124"/>
      <c r="O101" s="124"/>
      <c r="P101" s="124"/>
      <c r="Q101" s="124"/>
      <c r="R101" s="124"/>
      <c r="S101" s="124"/>
      <c r="T101" s="124"/>
      <c r="U101" s="124"/>
      <c r="V101" s="124"/>
      <c r="W101" s="124"/>
      <c r="X101" s="124"/>
    </row>
    <row r="102" spans="1:24" ht="31.5">
      <c r="A102" s="200"/>
      <c r="B102" s="151" t="s">
        <v>307</v>
      </c>
      <c r="C102" s="163">
        <v>1200</v>
      </c>
      <c r="D102" s="202">
        <v>0</v>
      </c>
      <c r="E102" s="194">
        <f t="shared" si="1"/>
        <v>-1200</v>
      </c>
      <c r="F102" s="194">
        <f t="shared" si="2"/>
        <v>0</v>
      </c>
      <c r="G102" s="193" t="s">
        <v>390</v>
      </c>
    </row>
    <row r="103" spans="1:24" ht="31.5">
      <c r="A103" s="200"/>
      <c r="B103" s="151" t="s">
        <v>308</v>
      </c>
      <c r="C103" s="152">
        <v>2</v>
      </c>
      <c r="D103" s="201">
        <v>0</v>
      </c>
      <c r="E103" s="191">
        <f t="shared" si="1"/>
        <v>-2</v>
      </c>
      <c r="F103" s="191">
        <f t="shared" si="2"/>
        <v>0</v>
      </c>
      <c r="G103" s="122" t="s">
        <v>400</v>
      </c>
    </row>
    <row r="104" spans="1:24" ht="47.25">
      <c r="A104" s="200"/>
      <c r="B104" s="151" t="s">
        <v>309</v>
      </c>
      <c r="C104" s="155">
        <v>450</v>
      </c>
      <c r="D104" s="201">
        <v>0</v>
      </c>
      <c r="E104" s="191">
        <f t="shared" si="1"/>
        <v>-450</v>
      </c>
      <c r="F104" s="191">
        <f t="shared" si="2"/>
        <v>0</v>
      </c>
      <c r="G104" s="122" t="s">
        <v>400</v>
      </c>
    </row>
    <row r="105" spans="1:24" ht="47.25">
      <c r="A105" s="200"/>
      <c r="B105" s="151" t="s">
        <v>310</v>
      </c>
      <c r="C105" s="152">
        <v>600</v>
      </c>
      <c r="D105" s="201">
        <v>0</v>
      </c>
      <c r="E105" s="191">
        <f t="shared" si="1"/>
        <v>-600</v>
      </c>
      <c r="F105" s="191">
        <f t="shared" si="2"/>
        <v>0</v>
      </c>
      <c r="G105" s="122" t="s">
        <v>400</v>
      </c>
    </row>
    <row r="106" spans="1:24" ht="63">
      <c r="A106" s="200"/>
      <c r="B106" s="151" t="s">
        <v>311</v>
      </c>
      <c r="C106" s="152">
        <v>60</v>
      </c>
      <c r="D106" s="201">
        <v>0</v>
      </c>
      <c r="E106" s="191">
        <f t="shared" si="1"/>
        <v>-60</v>
      </c>
      <c r="F106" s="191">
        <f t="shared" si="2"/>
        <v>0</v>
      </c>
      <c r="G106" s="122" t="s">
        <v>400</v>
      </c>
    </row>
    <row r="107" spans="1:24" ht="23.25" customHeight="1">
      <c r="A107" s="128" t="s">
        <v>312</v>
      </c>
      <c r="B107" s="999" t="s">
        <v>89</v>
      </c>
      <c r="C107" s="1000"/>
      <c r="D107" s="1000"/>
      <c r="E107" s="1000"/>
      <c r="F107" s="1000"/>
      <c r="G107" s="1001"/>
    </row>
    <row r="108" spans="1:24">
      <c r="A108" s="128"/>
      <c r="B108" s="151" t="s">
        <v>249</v>
      </c>
      <c r="C108" s="163">
        <v>1200.7</v>
      </c>
      <c r="D108" s="194">
        <v>238.56</v>
      </c>
      <c r="E108" s="194">
        <f t="shared" si="1"/>
        <v>-962.1400000000001</v>
      </c>
      <c r="F108" s="195">
        <f t="shared" si="2"/>
        <v>19.86841009411177</v>
      </c>
      <c r="G108" s="122" t="s">
        <v>400</v>
      </c>
    </row>
    <row r="109" spans="1:24" ht="31.5">
      <c r="A109" s="128"/>
      <c r="B109" s="151" t="s">
        <v>314</v>
      </c>
      <c r="C109" s="152">
        <v>2170</v>
      </c>
      <c r="D109" s="191">
        <v>470</v>
      </c>
      <c r="E109" s="191">
        <f t="shared" si="1"/>
        <v>-1700</v>
      </c>
      <c r="F109" s="192">
        <f t="shared" si="2"/>
        <v>21.658986175115206</v>
      </c>
      <c r="G109" s="122" t="s">
        <v>400</v>
      </c>
    </row>
    <row r="110" spans="1:24" ht="31.5">
      <c r="A110" s="128"/>
      <c r="B110" s="151" t="s">
        <v>315</v>
      </c>
      <c r="C110" s="155">
        <v>0.55000000000000004</v>
      </c>
      <c r="D110" s="203">
        <f>D108/D109</f>
        <v>0.50757446808510642</v>
      </c>
      <c r="E110" s="203">
        <f t="shared" si="1"/>
        <v>-4.2425531914893622E-2</v>
      </c>
      <c r="F110" s="192">
        <f t="shared" si="2"/>
        <v>92.286266924564799</v>
      </c>
      <c r="G110" s="122" t="s">
        <v>400</v>
      </c>
    </row>
    <row r="111" spans="1:24" ht="47.25">
      <c r="A111" s="128"/>
      <c r="B111" s="151" t="s">
        <v>316</v>
      </c>
      <c r="C111" s="152">
        <v>5</v>
      </c>
      <c r="D111" s="191">
        <v>4.7</v>
      </c>
      <c r="E111" s="191">
        <f t="shared" si="1"/>
        <v>-0.29999999999999982</v>
      </c>
      <c r="F111" s="191">
        <f t="shared" si="2"/>
        <v>94</v>
      </c>
      <c r="G111" s="122" t="s">
        <v>400</v>
      </c>
    </row>
    <row r="112" spans="1:24" s="198" customFormat="1" ht="23.25" customHeight="1">
      <c r="A112" s="197" t="s">
        <v>313</v>
      </c>
      <c r="B112" s="999" t="s">
        <v>95</v>
      </c>
      <c r="C112" s="1000"/>
      <c r="D112" s="1000"/>
      <c r="E112" s="1000"/>
      <c r="F112" s="1000"/>
      <c r="G112" s="1001"/>
      <c r="H112" s="124"/>
      <c r="I112" s="124"/>
      <c r="J112" s="124"/>
      <c r="K112" s="124"/>
      <c r="L112" s="124"/>
      <c r="M112" s="124"/>
      <c r="N112" s="124"/>
      <c r="O112" s="124"/>
      <c r="P112" s="124"/>
      <c r="Q112" s="124"/>
      <c r="R112" s="124"/>
      <c r="S112" s="124"/>
      <c r="T112" s="124"/>
      <c r="U112" s="124"/>
      <c r="V112" s="124"/>
      <c r="W112" s="124"/>
      <c r="X112" s="124"/>
    </row>
    <row r="113" spans="1:24" ht="47.25">
      <c r="A113" s="128"/>
      <c r="B113" s="151" t="s">
        <v>317</v>
      </c>
      <c r="C113" s="152">
        <v>15</v>
      </c>
      <c r="D113" s="191">
        <v>0</v>
      </c>
      <c r="E113" s="191">
        <f t="shared" si="1"/>
        <v>-15</v>
      </c>
      <c r="F113" s="191">
        <f t="shared" si="2"/>
        <v>0</v>
      </c>
      <c r="G113" s="122" t="s">
        <v>400</v>
      </c>
    </row>
    <row r="114" spans="1:24" ht="47.25">
      <c r="A114" s="128"/>
      <c r="B114" s="151" t="s">
        <v>318</v>
      </c>
      <c r="C114" s="163"/>
      <c r="D114" s="146"/>
      <c r="E114" s="204"/>
      <c r="F114" s="204"/>
      <c r="G114" s="146"/>
    </row>
    <row r="115" spans="1:24">
      <c r="A115" s="205" t="s">
        <v>98</v>
      </c>
      <c r="B115" s="1032" t="s">
        <v>97</v>
      </c>
      <c r="C115" s="1032"/>
      <c r="D115" s="1032"/>
      <c r="E115" s="1032"/>
      <c r="F115" s="1032"/>
      <c r="G115" s="1032"/>
    </row>
    <row r="116" spans="1:24">
      <c r="A116" s="207"/>
      <c r="B116" s="1032" t="s">
        <v>100</v>
      </c>
      <c r="C116" s="1032"/>
      <c r="D116" s="1032"/>
      <c r="E116" s="1032"/>
      <c r="F116" s="1032"/>
      <c r="G116" s="1032"/>
    </row>
    <row r="117" spans="1:24" ht="63">
      <c r="A117" s="207"/>
      <c r="B117" s="146" t="s">
        <v>210</v>
      </c>
      <c r="C117" s="116">
        <v>500</v>
      </c>
      <c r="D117" s="117">
        <v>143</v>
      </c>
      <c r="E117" s="143">
        <f t="shared" ref="E117:E124" si="3">D117-C117</f>
        <v>-357</v>
      </c>
      <c r="F117" s="143">
        <f>D117/C117*100</f>
        <v>28.599999999999998</v>
      </c>
      <c r="G117" s="122" t="s">
        <v>402</v>
      </c>
    </row>
    <row r="118" spans="1:24" ht="63">
      <c r="A118" s="207"/>
      <c r="B118" s="146" t="s">
        <v>211</v>
      </c>
      <c r="C118" s="114">
        <v>50</v>
      </c>
      <c r="D118" s="143">
        <v>24</v>
      </c>
      <c r="E118" s="143">
        <f t="shared" si="3"/>
        <v>-26</v>
      </c>
      <c r="F118" s="143">
        <f>D118/C118*100</f>
        <v>48</v>
      </c>
      <c r="G118" s="122" t="s">
        <v>400</v>
      </c>
    </row>
    <row r="119" spans="1:24" s="149" customFormat="1">
      <c r="A119" s="208"/>
      <c r="B119" s="1005" t="s">
        <v>101</v>
      </c>
      <c r="C119" s="1005"/>
      <c r="D119" s="1005"/>
      <c r="E119" s="1005"/>
      <c r="F119" s="1005"/>
      <c r="G119" s="1006"/>
      <c r="H119" s="124"/>
      <c r="I119" s="124"/>
      <c r="J119" s="124"/>
      <c r="K119" s="124"/>
      <c r="L119" s="124"/>
      <c r="M119" s="124"/>
      <c r="N119" s="124"/>
      <c r="O119" s="124"/>
      <c r="P119" s="124"/>
      <c r="Q119" s="124"/>
      <c r="R119" s="124"/>
      <c r="S119" s="124"/>
      <c r="T119" s="124"/>
      <c r="U119" s="124"/>
      <c r="V119" s="124"/>
      <c r="W119" s="124"/>
      <c r="X119" s="124"/>
    </row>
    <row r="120" spans="1:24" ht="63">
      <c r="A120" s="209"/>
      <c r="B120" s="123" t="s">
        <v>212</v>
      </c>
      <c r="C120" s="116">
        <v>20</v>
      </c>
      <c r="D120" s="117">
        <v>39</v>
      </c>
      <c r="E120" s="143">
        <f t="shared" si="3"/>
        <v>19</v>
      </c>
      <c r="F120" s="143">
        <f>D120/C120*100</f>
        <v>195</v>
      </c>
      <c r="G120" s="122" t="s">
        <v>402</v>
      </c>
    </row>
    <row r="121" spans="1:24" ht="47.25">
      <c r="A121" s="210"/>
      <c r="B121" s="123" t="s">
        <v>213</v>
      </c>
      <c r="C121" s="116">
        <v>23</v>
      </c>
      <c r="D121" s="117">
        <v>30</v>
      </c>
      <c r="E121" s="143">
        <f t="shared" si="3"/>
        <v>7</v>
      </c>
      <c r="F121" s="143">
        <f>D121/C121*100</f>
        <v>130.43478260869566</v>
      </c>
      <c r="G121" s="122" t="s">
        <v>400</v>
      </c>
    </row>
    <row r="122" spans="1:24">
      <c r="A122" s="211" t="s">
        <v>103</v>
      </c>
      <c r="B122" s="996" t="s">
        <v>102</v>
      </c>
      <c r="C122" s="997"/>
      <c r="D122" s="997"/>
      <c r="E122" s="997"/>
      <c r="F122" s="997"/>
      <c r="G122" s="998"/>
    </row>
    <row r="123" spans="1:24" ht="47.25">
      <c r="A123" s="159"/>
      <c r="B123" s="134" t="s">
        <v>214</v>
      </c>
      <c r="C123" s="114">
        <v>15100</v>
      </c>
      <c r="D123" s="114">
        <v>11981</v>
      </c>
      <c r="E123" s="143">
        <f t="shared" si="3"/>
        <v>-3119</v>
      </c>
      <c r="F123" s="143">
        <f>D123/C123*100</f>
        <v>79.344370860927143</v>
      </c>
      <c r="G123" s="122" t="s">
        <v>400</v>
      </c>
    </row>
    <row r="124" spans="1:24" ht="63">
      <c r="A124" s="144"/>
      <c r="B124" s="134" t="s">
        <v>215</v>
      </c>
      <c r="C124" s="114">
        <v>63.3</v>
      </c>
      <c r="D124" s="114">
        <v>51</v>
      </c>
      <c r="E124" s="143">
        <f t="shared" si="3"/>
        <v>-12.299999999999997</v>
      </c>
      <c r="F124" s="143">
        <f>D124/C124*100</f>
        <v>80.568720379146924</v>
      </c>
      <c r="G124" s="122" t="s">
        <v>400</v>
      </c>
    </row>
    <row r="125" spans="1:24" ht="33.75" customHeight="1">
      <c r="A125" s="205" t="s">
        <v>105</v>
      </c>
      <c r="B125" s="999" t="s">
        <v>104</v>
      </c>
      <c r="C125" s="1000"/>
      <c r="D125" s="1000"/>
      <c r="E125" s="1000"/>
      <c r="F125" s="1000"/>
      <c r="G125" s="1001"/>
    </row>
    <row r="126" spans="1:24" ht="21.75" customHeight="1">
      <c r="A126" s="205" t="s">
        <v>1</v>
      </c>
      <c r="B126" s="999" t="s">
        <v>106</v>
      </c>
      <c r="C126" s="1000"/>
      <c r="D126" s="1000"/>
      <c r="E126" s="1000"/>
      <c r="F126" s="1000"/>
      <c r="G126" s="1001"/>
    </row>
    <row r="127" spans="1:24" ht="138.75" customHeight="1">
      <c r="A127" s="205"/>
      <c r="B127" s="176" t="s">
        <v>287</v>
      </c>
      <c r="C127" s="163">
        <v>715.14</v>
      </c>
      <c r="D127" s="202">
        <v>972.14</v>
      </c>
      <c r="E127" s="194">
        <f>D127-C127</f>
        <v>257</v>
      </c>
      <c r="F127" s="195">
        <f>D127/C127*100</f>
        <v>135.93701932488744</v>
      </c>
      <c r="G127" s="193" t="s">
        <v>394</v>
      </c>
    </row>
    <row r="128" spans="1:24" ht="31.5">
      <c r="A128" s="205"/>
      <c r="B128" s="151" t="s">
        <v>319</v>
      </c>
      <c r="C128" s="152">
        <v>2400</v>
      </c>
      <c r="D128" s="201">
        <v>890</v>
      </c>
      <c r="E128" s="191">
        <f t="shared" ref="E128:E136" si="4">D128-C128</f>
        <v>-1510</v>
      </c>
      <c r="F128" s="192">
        <f t="shared" ref="F128:F136" si="5">D128/C128*100</f>
        <v>37.083333333333336</v>
      </c>
      <c r="G128" s="122" t="s">
        <v>400</v>
      </c>
    </row>
    <row r="129" spans="1:24" ht="47.25">
      <c r="A129" s="205"/>
      <c r="B129" s="151" t="s">
        <v>320</v>
      </c>
      <c r="C129" s="181">
        <f>C127/C128</f>
        <v>0.29797499999999999</v>
      </c>
      <c r="D129" s="181">
        <f>D127/D128</f>
        <v>1.0922921348314607</v>
      </c>
      <c r="E129" s="203">
        <f t="shared" si="4"/>
        <v>0.79431713483146071</v>
      </c>
      <c r="F129" s="192">
        <f t="shared" si="5"/>
        <v>366.57173750531445</v>
      </c>
      <c r="G129" s="122" t="s">
        <v>400</v>
      </c>
    </row>
    <row r="130" spans="1:24" ht="63">
      <c r="A130" s="205"/>
      <c r="B130" s="151" t="s">
        <v>323</v>
      </c>
      <c r="C130" s="152">
        <v>68</v>
      </c>
      <c r="D130" s="191">
        <v>52.8</v>
      </c>
      <c r="E130" s="191">
        <f t="shared" si="4"/>
        <v>-15.200000000000003</v>
      </c>
      <c r="F130" s="192">
        <f t="shared" si="5"/>
        <v>77.647058823529406</v>
      </c>
      <c r="G130" s="122" t="s">
        <v>400</v>
      </c>
    </row>
    <row r="131" spans="1:24" ht="21" customHeight="1">
      <c r="A131" s="205" t="s">
        <v>327</v>
      </c>
      <c r="B131" s="1029" t="s">
        <v>107</v>
      </c>
      <c r="C131" s="1030"/>
      <c r="D131" s="1030"/>
      <c r="E131" s="1030"/>
      <c r="F131" s="1030"/>
      <c r="G131" s="1031"/>
    </row>
    <row r="132" spans="1:24" ht="78.75">
      <c r="A132" s="205"/>
      <c r="B132" s="151" t="s">
        <v>321</v>
      </c>
      <c r="C132" s="152">
        <v>68</v>
      </c>
      <c r="D132" s="191">
        <v>0</v>
      </c>
      <c r="E132" s="191">
        <f t="shared" si="4"/>
        <v>-68</v>
      </c>
      <c r="F132" s="191">
        <f t="shared" si="5"/>
        <v>0</v>
      </c>
      <c r="G132" s="122" t="s">
        <v>400</v>
      </c>
    </row>
    <row r="133" spans="1:24" ht="78.75">
      <c r="A133" s="205"/>
      <c r="B133" s="151" t="s">
        <v>322</v>
      </c>
      <c r="C133" s="152">
        <v>35</v>
      </c>
      <c r="D133" s="191">
        <v>0</v>
      </c>
      <c r="E133" s="191">
        <f t="shared" si="4"/>
        <v>-35</v>
      </c>
      <c r="F133" s="191">
        <f t="shared" si="5"/>
        <v>0</v>
      </c>
      <c r="G133" s="122" t="s">
        <v>400</v>
      </c>
    </row>
    <row r="134" spans="1:24" ht="18.75" customHeight="1">
      <c r="A134" s="205" t="s">
        <v>328</v>
      </c>
      <c r="B134" s="1029" t="s">
        <v>109</v>
      </c>
      <c r="C134" s="1030"/>
      <c r="D134" s="1030"/>
      <c r="E134" s="1030"/>
      <c r="F134" s="1030"/>
      <c r="G134" s="1031"/>
    </row>
    <row r="135" spans="1:24" ht="63">
      <c r="A135" s="205"/>
      <c r="B135" s="151" t="s">
        <v>324</v>
      </c>
      <c r="C135" s="152">
        <v>704</v>
      </c>
      <c r="D135" s="191">
        <v>0</v>
      </c>
      <c r="E135" s="191">
        <f t="shared" si="4"/>
        <v>-704</v>
      </c>
      <c r="F135" s="191">
        <f t="shared" si="5"/>
        <v>0</v>
      </c>
      <c r="G135" s="122" t="s">
        <v>400</v>
      </c>
    </row>
    <row r="136" spans="1:24" ht="78.75">
      <c r="A136" s="205"/>
      <c r="B136" s="151" t="s">
        <v>325</v>
      </c>
      <c r="C136" s="152">
        <v>20</v>
      </c>
      <c r="D136" s="191">
        <v>0</v>
      </c>
      <c r="E136" s="191">
        <f t="shared" si="4"/>
        <v>-20</v>
      </c>
      <c r="F136" s="191">
        <f t="shared" si="5"/>
        <v>0</v>
      </c>
      <c r="G136" s="122" t="s">
        <v>400</v>
      </c>
    </row>
    <row r="137" spans="1:24">
      <c r="A137" s="212" t="s">
        <v>3</v>
      </c>
      <c r="B137" s="999" t="s">
        <v>110</v>
      </c>
      <c r="C137" s="1000"/>
      <c r="D137" s="1000"/>
      <c r="E137" s="1000"/>
      <c r="F137" s="1000"/>
      <c r="G137" s="1001"/>
    </row>
    <row r="138" spans="1:24">
      <c r="A138" s="213"/>
      <c r="B138" s="123" t="s">
        <v>196</v>
      </c>
      <c r="C138" s="214">
        <v>9390</v>
      </c>
      <c r="D138" s="215">
        <v>615.88</v>
      </c>
      <c r="E138" s="215">
        <f>D138-C138</f>
        <v>-8774.1200000000008</v>
      </c>
      <c r="F138" s="121">
        <f>D138/C138*100</f>
        <v>6.5588924387646435</v>
      </c>
      <c r="G138" s="122" t="s">
        <v>400</v>
      </c>
    </row>
    <row r="139" spans="1:24" ht="31.5">
      <c r="A139" s="209"/>
      <c r="B139" s="123" t="s">
        <v>216</v>
      </c>
      <c r="C139" s="116">
        <v>600</v>
      </c>
      <c r="D139" s="117">
        <v>324</v>
      </c>
      <c r="E139" s="143">
        <f t="shared" ref="E139:E185" si="6">D139-C139</f>
        <v>-276</v>
      </c>
      <c r="F139" s="143">
        <f>D139/C139*100</f>
        <v>54</v>
      </c>
      <c r="G139" s="122" t="s">
        <v>400</v>
      </c>
    </row>
    <row r="140" spans="1:24" ht="31.5">
      <c r="A140" s="209"/>
      <c r="B140" s="123" t="s">
        <v>217</v>
      </c>
      <c r="C140" s="133">
        <f>C138/C139</f>
        <v>15.65</v>
      </c>
      <c r="D140" s="133">
        <f>D138/D139</f>
        <v>1.9008641975308642</v>
      </c>
      <c r="E140" s="142">
        <f t="shared" si="6"/>
        <v>-13.749135802469135</v>
      </c>
      <c r="F140" s="143">
        <f>D140/C140*100</f>
        <v>12.146097108823414</v>
      </c>
      <c r="G140" s="122" t="s">
        <v>400</v>
      </c>
    </row>
    <row r="141" spans="1:24" ht="83.25" customHeight="1">
      <c r="A141" s="210"/>
      <c r="B141" s="123" t="s">
        <v>218</v>
      </c>
      <c r="C141" s="116">
        <v>70</v>
      </c>
      <c r="D141" s="117">
        <v>87.96</v>
      </c>
      <c r="E141" s="143">
        <f t="shared" si="6"/>
        <v>17.959999999999994</v>
      </c>
      <c r="F141" s="143">
        <f>D141/C141*100</f>
        <v>125.65714285714284</v>
      </c>
      <c r="G141" s="122" t="s">
        <v>400</v>
      </c>
    </row>
    <row r="142" spans="1:24" s="149" customFormat="1">
      <c r="A142" s="208" t="s">
        <v>4</v>
      </c>
      <c r="B142" s="999" t="s">
        <v>111</v>
      </c>
      <c r="C142" s="1000"/>
      <c r="D142" s="1000"/>
      <c r="E142" s="1000"/>
      <c r="F142" s="1000"/>
      <c r="G142" s="1001"/>
      <c r="H142" s="124"/>
      <c r="I142" s="124"/>
      <c r="J142" s="124"/>
      <c r="K142" s="124"/>
      <c r="L142" s="124"/>
      <c r="M142" s="124"/>
      <c r="N142" s="124"/>
      <c r="O142" s="124"/>
      <c r="P142" s="124"/>
      <c r="Q142" s="124"/>
      <c r="R142" s="124"/>
      <c r="S142" s="124"/>
      <c r="T142" s="124"/>
      <c r="U142" s="124"/>
      <c r="V142" s="124"/>
      <c r="W142" s="124"/>
      <c r="X142" s="124"/>
    </row>
    <row r="143" spans="1:24" ht="63">
      <c r="A143" s="213"/>
      <c r="B143" s="123" t="s">
        <v>219</v>
      </c>
      <c r="C143" s="114">
        <v>1267</v>
      </c>
      <c r="D143" s="143">
        <v>249</v>
      </c>
      <c r="E143" s="143">
        <f t="shared" si="6"/>
        <v>-1018</v>
      </c>
      <c r="F143" s="143">
        <f>D143/C143*100</f>
        <v>19.652722967640095</v>
      </c>
      <c r="G143" s="122" t="s">
        <v>400</v>
      </c>
    </row>
    <row r="144" spans="1:24" ht="63">
      <c r="A144" s="210"/>
      <c r="B144" s="123" t="s">
        <v>220</v>
      </c>
      <c r="C144" s="116">
        <v>40</v>
      </c>
      <c r="D144" s="117">
        <v>27.98</v>
      </c>
      <c r="E144" s="143">
        <f t="shared" si="6"/>
        <v>-12.02</v>
      </c>
      <c r="F144" s="143">
        <f>D144/C144*100</f>
        <v>69.95</v>
      </c>
      <c r="G144" s="122" t="s">
        <v>400</v>
      </c>
    </row>
    <row r="145" spans="1:7" ht="21.75" customHeight="1">
      <c r="A145" s="210" t="s">
        <v>329</v>
      </c>
      <c r="B145" s="999" t="s">
        <v>112</v>
      </c>
      <c r="C145" s="1000"/>
      <c r="D145" s="1000"/>
      <c r="E145" s="1000"/>
      <c r="F145" s="1000"/>
      <c r="G145" s="1001"/>
    </row>
    <row r="146" spans="1:7" ht="88.5" customHeight="1">
      <c r="A146" s="216"/>
      <c r="B146" s="176" t="s">
        <v>307</v>
      </c>
      <c r="C146" s="152">
        <v>881.31</v>
      </c>
      <c r="D146" s="217">
        <v>45.69</v>
      </c>
      <c r="E146" s="143">
        <f t="shared" si="6"/>
        <v>-835.61999999999989</v>
      </c>
      <c r="F146" s="143">
        <f t="shared" ref="F146:F185" si="7">D146/C146*100</f>
        <v>5.1843278755488988</v>
      </c>
      <c r="G146" s="122" t="s">
        <v>395</v>
      </c>
    </row>
    <row r="147" spans="1:7" ht="47.25">
      <c r="A147" s="216"/>
      <c r="B147" s="151" t="s">
        <v>330</v>
      </c>
      <c r="C147" s="155">
        <v>1200</v>
      </c>
      <c r="D147" s="217">
        <v>307</v>
      </c>
      <c r="E147" s="143">
        <f t="shared" si="6"/>
        <v>-893</v>
      </c>
      <c r="F147" s="143">
        <f t="shared" si="7"/>
        <v>25.583333333333336</v>
      </c>
      <c r="G147" s="122" t="s">
        <v>400</v>
      </c>
    </row>
    <row r="148" spans="1:7" ht="47.25">
      <c r="A148" s="216"/>
      <c r="B148" s="151" t="s">
        <v>331</v>
      </c>
      <c r="C148" s="155">
        <v>0.73</v>
      </c>
      <c r="D148" s="182">
        <f>D146/D147</f>
        <v>0.14882736156351792</v>
      </c>
      <c r="E148" s="143">
        <f t="shared" si="6"/>
        <v>-0.58117263843648204</v>
      </c>
      <c r="F148" s="143">
        <f t="shared" si="7"/>
        <v>20.387309803221633</v>
      </c>
      <c r="G148" s="122" t="s">
        <v>400</v>
      </c>
    </row>
    <row r="149" spans="1:7" ht="63">
      <c r="A149" s="216"/>
      <c r="B149" s="151" t="s">
        <v>332</v>
      </c>
      <c r="C149" s="152">
        <v>50</v>
      </c>
      <c r="D149" s="218">
        <v>34.49</v>
      </c>
      <c r="E149" s="143">
        <f t="shared" si="6"/>
        <v>-15.509999999999998</v>
      </c>
      <c r="F149" s="143">
        <f t="shared" si="7"/>
        <v>68.98</v>
      </c>
      <c r="G149" s="122" t="s">
        <v>400</v>
      </c>
    </row>
    <row r="150" spans="1:7" ht="35.25" customHeight="1">
      <c r="A150" s="210" t="s">
        <v>333</v>
      </c>
      <c r="B150" s="999" t="s">
        <v>114</v>
      </c>
      <c r="C150" s="1000"/>
      <c r="D150" s="1000"/>
      <c r="E150" s="1000"/>
      <c r="F150" s="1000"/>
      <c r="G150" s="1001"/>
    </row>
    <row r="151" spans="1:7" ht="20.25" customHeight="1">
      <c r="A151" s="207" t="s">
        <v>336</v>
      </c>
      <c r="B151" s="999" t="s">
        <v>334</v>
      </c>
      <c r="C151" s="1000"/>
      <c r="D151" s="1000"/>
      <c r="E151" s="1000"/>
      <c r="F151" s="1000"/>
      <c r="G151" s="1001"/>
    </row>
    <row r="152" spans="1:7" ht="63">
      <c r="A152" s="207"/>
      <c r="B152" s="176" t="s">
        <v>249</v>
      </c>
      <c r="C152" s="163">
        <v>375.54399999999998</v>
      </c>
      <c r="D152" s="120">
        <v>928.27</v>
      </c>
      <c r="E152" s="121">
        <f t="shared" si="6"/>
        <v>552.726</v>
      </c>
      <c r="F152" s="121">
        <f t="shared" si="7"/>
        <v>247.18009074835439</v>
      </c>
      <c r="G152" s="122" t="s">
        <v>391</v>
      </c>
    </row>
    <row r="153" spans="1:7" ht="47.25">
      <c r="A153" s="207"/>
      <c r="B153" s="176" t="s">
        <v>344</v>
      </c>
      <c r="C153" s="152">
        <v>2400</v>
      </c>
      <c r="D153" s="117">
        <v>890</v>
      </c>
      <c r="E153" s="143">
        <f t="shared" si="6"/>
        <v>-1510</v>
      </c>
      <c r="F153" s="143">
        <f t="shared" si="7"/>
        <v>37.083333333333336</v>
      </c>
      <c r="G153" s="122" t="s">
        <v>400</v>
      </c>
    </row>
    <row r="154" spans="1:7" ht="31.5">
      <c r="A154" s="207"/>
      <c r="B154" s="176" t="s">
        <v>345</v>
      </c>
      <c r="C154" s="181">
        <f>C152/C153</f>
        <v>0.15647666666666665</v>
      </c>
      <c r="D154" s="181">
        <f>D152/D153</f>
        <v>1.0429999999999999</v>
      </c>
      <c r="E154" s="143">
        <f t="shared" si="6"/>
        <v>0.88652333333333333</v>
      </c>
      <c r="F154" s="143">
        <f t="shared" si="7"/>
        <v>666.55305370342762</v>
      </c>
      <c r="G154" s="122" t="s">
        <v>400</v>
      </c>
    </row>
    <row r="155" spans="1:7" ht="63">
      <c r="A155" s="207"/>
      <c r="B155" s="176" t="s">
        <v>346</v>
      </c>
      <c r="C155" s="152">
        <v>100</v>
      </c>
      <c r="D155" s="117">
        <v>100</v>
      </c>
      <c r="E155" s="143">
        <f t="shared" si="6"/>
        <v>0</v>
      </c>
      <c r="F155" s="143">
        <f t="shared" si="7"/>
        <v>100</v>
      </c>
      <c r="G155" s="122" t="s">
        <v>400</v>
      </c>
    </row>
    <row r="156" spans="1:7">
      <c r="A156" s="207" t="s">
        <v>337</v>
      </c>
      <c r="B156" s="999" t="s">
        <v>120</v>
      </c>
      <c r="C156" s="1000"/>
      <c r="D156" s="1000"/>
      <c r="E156" s="1000"/>
      <c r="F156" s="1000"/>
      <c r="G156" s="1001"/>
    </row>
    <row r="157" spans="1:7" ht="66.75" customHeight="1">
      <c r="A157" s="207"/>
      <c r="B157" s="176" t="s">
        <v>249</v>
      </c>
      <c r="C157" s="152">
        <v>1096.355</v>
      </c>
      <c r="D157" s="117">
        <v>2726.45</v>
      </c>
      <c r="E157" s="143">
        <f t="shared" si="6"/>
        <v>1630.0949999999998</v>
      </c>
      <c r="F157" s="143">
        <f t="shared" si="7"/>
        <v>248.68313639286544</v>
      </c>
      <c r="G157" s="122" t="s">
        <v>391</v>
      </c>
    </row>
    <row r="158" spans="1:7" ht="47.25">
      <c r="A158" s="207"/>
      <c r="B158" s="176" t="s">
        <v>347</v>
      </c>
      <c r="C158" s="152">
        <v>3520</v>
      </c>
      <c r="D158" s="117">
        <v>890</v>
      </c>
      <c r="E158" s="143">
        <f t="shared" si="6"/>
        <v>-2630</v>
      </c>
      <c r="F158" s="143">
        <f t="shared" si="7"/>
        <v>25.28409090909091</v>
      </c>
      <c r="G158" s="122" t="s">
        <v>400</v>
      </c>
    </row>
    <row r="159" spans="1:7" ht="31.5">
      <c r="A159" s="207"/>
      <c r="B159" s="176" t="s">
        <v>348</v>
      </c>
      <c r="C159" s="152">
        <v>0.31</v>
      </c>
      <c r="D159" s="219">
        <f>D157/D158</f>
        <v>3.0634269662921345</v>
      </c>
      <c r="E159" s="143">
        <f t="shared" si="6"/>
        <v>2.7534269662921345</v>
      </c>
      <c r="F159" s="143">
        <f t="shared" si="7"/>
        <v>988.20224719101122</v>
      </c>
      <c r="G159" s="122" t="s">
        <v>400</v>
      </c>
    </row>
    <row r="160" spans="1:7" ht="47.25">
      <c r="A160" s="207"/>
      <c r="B160" s="176" t="s">
        <v>349</v>
      </c>
      <c r="C160" s="152">
        <v>100</v>
      </c>
      <c r="D160" s="117">
        <v>100</v>
      </c>
      <c r="E160" s="143">
        <f t="shared" si="6"/>
        <v>0</v>
      </c>
      <c r="F160" s="143">
        <f t="shared" si="7"/>
        <v>100</v>
      </c>
      <c r="G160" s="122" t="s">
        <v>400</v>
      </c>
    </row>
    <row r="161" spans="1:7" ht="19.5" customHeight="1">
      <c r="A161" s="207" t="s">
        <v>338</v>
      </c>
      <c r="B161" s="999" t="s">
        <v>121</v>
      </c>
      <c r="C161" s="1000"/>
      <c r="D161" s="1000"/>
      <c r="E161" s="1000"/>
      <c r="F161" s="1000"/>
      <c r="G161" s="1001"/>
    </row>
    <row r="162" spans="1:7" ht="63">
      <c r="A162" s="207"/>
      <c r="B162" s="176" t="s">
        <v>249</v>
      </c>
      <c r="C162" s="152">
        <v>219.542</v>
      </c>
      <c r="D162" s="117">
        <v>120.42</v>
      </c>
      <c r="E162" s="143">
        <f t="shared" si="6"/>
        <v>-99.122</v>
      </c>
      <c r="F162" s="143">
        <f t="shared" si="7"/>
        <v>54.850552513869786</v>
      </c>
      <c r="G162" s="122" t="s">
        <v>392</v>
      </c>
    </row>
    <row r="163" spans="1:7" ht="47.25">
      <c r="A163" s="207"/>
      <c r="B163" s="176" t="s">
        <v>350</v>
      </c>
      <c r="C163" s="152">
        <v>3520</v>
      </c>
      <c r="D163" s="117">
        <v>890</v>
      </c>
      <c r="E163" s="143">
        <f t="shared" si="6"/>
        <v>-2630</v>
      </c>
      <c r="F163" s="143">
        <f t="shared" si="7"/>
        <v>25.28409090909091</v>
      </c>
      <c r="G163" s="122" t="s">
        <v>400</v>
      </c>
    </row>
    <row r="164" spans="1:7" ht="47.25">
      <c r="A164" s="207"/>
      <c r="B164" s="176" t="s">
        <v>351</v>
      </c>
      <c r="C164" s="155">
        <v>0.06</v>
      </c>
      <c r="D164" s="219">
        <f>D162/D163</f>
        <v>0.13530337078651686</v>
      </c>
      <c r="E164" s="143">
        <f t="shared" si="6"/>
        <v>7.530337078651686E-2</v>
      </c>
      <c r="F164" s="143">
        <f t="shared" si="7"/>
        <v>225.50561797752812</v>
      </c>
      <c r="G164" s="122" t="s">
        <v>400</v>
      </c>
    </row>
    <row r="165" spans="1:7" ht="47.25">
      <c r="A165" s="207"/>
      <c r="B165" s="176" t="s">
        <v>352</v>
      </c>
      <c r="C165" s="152">
        <v>100</v>
      </c>
      <c r="D165" s="117">
        <v>100</v>
      </c>
      <c r="E165" s="143">
        <f t="shared" si="6"/>
        <v>0</v>
      </c>
      <c r="F165" s="143">
        <f t="shared" si="7"/>
        <v>100</v>
      </c>
      <c r="G165" s="122" t="s">
        <v>400</v>
      </c>
    </row>
    <row r="166" spans="1:7" ht="21" customHeight="1">
      <c r="A166" s="207" t="s">
        <v>339</v>
      </c>
      <c r="B166" s="999" t="s">
        <v>341</v>
      </c>
      <c r="C166" s="1000"/>
      <c r="D166" s="1000"/>
      <c r="E166" s="1000"/>
      <c r="F166" s="1000"/>
      <c r="G166" s="1001"/>
    </row>
    <row r="167" spans="1:7" ht="21" customHeight="1">
      <c r="A167" s="207" t="s">
        <v>340</v>
      </c>
      <c r="B167" s="999" t="s">
        <v>335</v>
      </c>
      <c r="C167" s="1000"/>
      <c r="D167" s="1000"/>
      <c r="E167" s="1000"/>
      <c r="F167" s="1000"/>
      <c r="G167" s="1001"/>
    </row>
    <row r="168" spans="1:7" ht="204.75">
      <c r="A168" s="207"/>
      <c r="B168" s="176" t="s">
        <v>249</v>
      </c>
      <c r="C168" s="152">
        <v>1527</v>
      </c>
      <c r="D168" s="117">
        <v>405.79</v>
      </c>
      <c r="E168" s="143">
        <f t="shared" si="6"/>
        <v>-1121.21</v>
      </c>
      <c r="F168" s="143">
        <f t="shared" si="7"/>
        <v>26.574328749181404</v>
      </c>
      <c r="G168" s="122" t="s">
        <v>396</v>
      </c>
    </row>
    <row r="169" spans="1:7" ht="31.5">
      <c r="A169" s="207"/>
      <c r="B169" s="176" t="s">
        <v>353</v>
      </c>
      <c r="C169" s="152"/>
      <c r="D169" s="117"/>
      <c r="E169" s="143"/>
      <c r="F169" s="143"/>
      <c r="G169" s="115"/>
    </row>
    <row r="170" spans="1:7">
      <c r="A170" s="207"/>
      <c r="B170" s="220" t="s">
        <v>241</v>
      </c>
      <c r="C170" s="152">
        <v>3000</v>
      </c>
      <c r="D170" s="117">
        <v>358</v>
      </c>
      <c r="E170" s="143">
        <f t="shared" si="6"/>
        <v>-2642</v>
      </c>
      <c r="F170" s="143">
        <f t="shared" si="7"/>
        <v>11.933333333333334</v>
      </c>
      <c r="G170" s="122" t="s">
        <v>400</v>
      </c>
    </row>
    <row r="171" spans="1:7">
      <c r="A171" s="207"/>
      <c r="B171" s="220" t="s">
        <v>242</v>
      </c>
      <c r="C171" s="152">
        <v>1250</v>
      </c>
      <c r="D171" s="117">
        <v>1001</v>
      </c>
      <c r="E171" s="143">
        <f t="shared" si="6"/>
        <v>-249</v>
      </c>
      <c r="F171" s="143">
        <f t="shared" si="7"/>
        <v>80.08</v>
      </c>
      <c r="G171" s="122" t="s">
        <v>400</v>
      </c>
    </row>
    <row r="172" spans="1:7">
      <c r="A172" s="207"/>
      <c r="B172" s="220" t="s">
        <v>243</v>
      </c>
      <c r="C172" s="152">
        <v>100</v>
      </c>
      <c r="D172" s="117">
        <v>160</v>
      </c>
      <c r="E172" s="143">
        <f t="shared" si="6"/>
        <v>60</v>
      </c>
      <c r="F172" s="143">
        <f t="shared" si="7"/>
        <v>160</v>
      </c>
      <c r="G172" s="122" t="s">
        <v>400</v>
      </c>
    </row>
    <row r="173" spans="1:7">
      <c r="A173" s="207"/>
      <c r="B173" s="220" t="s">
        <v>244</v>
      </c>
      <c r="C173" s="152">
        <v>100</v>
      </c>
      <c r="D173" s="117">
        <v>173</v>
      </c>
      <c r="E173" s="143">
        <f t="shared" si="6"/>
        <v>73</v>
      </c>
      <c r="F173" s="143">
        <f t="shared" si="7"/>
        <v>173</v>
      </c>
      <c r="G173" s="122" t="s">
        <v>400</v>
      </c>
    </row>
    <row r="174" spans="1:7" ht="47.25">
      <c r="A174" s="207"/>
      <c r="B174" s="176" t="s">
        <v>354</v>
      </c>
      <c r="C174" s="155">
        <v>1.1000000000000001</v>
      </c>
      <c r="D174" s="117">
        <v>0.24</v>
      </c>
      <c r="E174" s="143">
        <f t="shared" si="6"/>
        <v>-0.8600000000000001</v>
      </c>
      <c r="F174" s="143">
        <f t="shared" si="7"/>
        <v>21.818181818181813</v>
      </c>
      <c r="G174" s="122" t="s">
        <v>400</v>
      </c>
    </row>
    <row r="175" spans="1:7" ht="54" customHeight="1">
      <c r="A175" s="207"/>
      <c r="B175" s="176" t="s">
        <v>355</v>
      </c>
      <c r="C175" s="155">
        <v>100</v>
      </c>
      <c r="D175" s="117">
        <v>100</v>
      </c>
      <c r="E175" s="143">
        <f t="shared" si="6"/>
        <v>0</v>
      </c>
      <c r="F175" s="143">
        <f t="shared" si="7"/>
        <v>100</v>
      </c>
      <c r="G175" s="122" t="s">
        <v>400</v>
      </c>
    </row>
    <row r="176" spans="1:7">
      <c r="A176" s="207" t="s">
        <v>342</v>
      </c>
      <c r="B176" s="999" t="s">
        <v>128</v>
      </c>
      <c r="C176" s="1000"/>
      <c r="D176" s="1000"/>
      <c r="E176" s="1000"/>
      <c r="F176" s="1000"/>
      <c r="G176" s="1001"/>
    </row>
    <row r="177" spans="1:24" ht="196.5" customHeight="1">
      <c r="A177" s="207"/>
      <c r="B177" s="176" t="s">
        <v>249</v>
      </c>
      <c r="C177" s="152">
        <v>3383.6909999999998</v>
      </c>
      <c r="D177" s="117">
        <v>1879.97</v>
      </c>
      <c r="E177" s="143">
        <f t="shared" si="6"/>
        <v>-1503.7209999999998</v>
      </c>
      <c r="F177" s="143">
        <f t="shared" si="7"/>
        <v>55.559742305074558</v>
      </c>
      <c r="G177" s="122" t="s">
        <v>397</v>
      </c>
    </row>
    <row r="178" spans="1:24" ht="31.5">
      <c r="A178" s="207"/>
      <c r="B178" s="176" t="s">
        <v>356</v>
      </c>
      <c r="C178" s="155">
        <v>510</v>
      </c>
      <c r="D178" s="117">
        <v>243</v>
      </c>
      <c r="E178" s="143">
        <f t="shared" si="6"/>
        <v>-267</v>
      </c>
      <c r="F178" s="143">
        <f t="shared" si="7"/>
        <v>47.647058823529406</v>
      </c>
      <c r="G178" s="122" t="s">
        <v>400</v>
      </c>
    </row>
    <row r="179" spans="1:24" ht="31.5">
      <c r="A179" s="207"/>
      <c r="B179" s="176" t="s">
        <v>357</v>
      </c>
      <c r="C179" s="152">
        <v>6.63</v>
      </c>
      <c r="D179" s="219">
        <f>D177/D178</f>
        <v>7.7365020576131691</v>
      </c>
      <c r="E179" s="143">
        <f t="shared" si="6"/>
        <v>1.1065020576131692</v>
      </c>
      <c r="F179" s="143">
        <f t="shared" si="7"/>
        <v>116.68932213594523</v>
      </c>
      <c r="G179" s="122" t="s">
        <v>400</v>
      </c>
    </row>
    <row r="180" spans="1:24" ht="63">
      <c r="A180" s="207"/>
      <c r="B180" s="176" t="s">
        <v>358</v>
      </c>
      <c r="C180" s="152">
        <v>50</v>
      </c>
      <c r="D180" s="117">
        <v>21</v>
      </c>
      <c r="E180" s="143">
        <f t="shared" si="6"/>
        <v>-29</v>
      </c>
      <c r="F180" s="143">
        <f t="shared" si="7"/>
        <v>42</v>
      </c>
      <c r="G180" s="122" t="s">
        <v>400</v>
      </c>
    </row>
    <row r="181" spans="1:24" ht="36.75" customHeight="1">
      <c r="A181" s="207" t="s">
        <v>343</v>
      </c>
      <c r="B181" s="999" t="s">
        <v>129</v>
      </c>
      <c r="C181" s="1000"/>
      <c r="D181" s="1000"/>
      <c r="E181" s="1000"/>
      <c r="F181" s="1000"/>
      <c r="G181" s="1001"/>
    </row>
    <row r="182" spans="1:24">
      <c r="A182" s="207"/>
      <c r="B182" s="176" t="s">
        <v>249</v>
      </c>
      <c r="C182" s="152">
        <v>225</v>
      </c>
      <c r="D182" s="117">
        <v>0</v>
      </c>
      <c r="E182" s="143">
        <f t="shared" si="6"/>
        <v>-225</v>
      </c>
      <c r="F182" s="143">
        <f t="shared" si="7"/>
        <v>0</v>
      </c>
      <c r="G182" s="122" t="s">
        <v>400</v>
      </c>
    </row>
    <row r="183" spans="1:24" ht="78.75">
      <c r="A183" s="207"/>
      <c r="B183" s="176" t="s">
        <v>359</v>
      </c>
      <c r="C183" s="152">
        <v>88</v>
      </c>
      <c r="D183" s="117">
        <v>0</v>
      </c>
      <c r="E183" s="143">
        <f t="shared" si="6"/>
        <v>-88</v>
      </c>
      <c r="F183" s="143">
        <f t="shared" si="7"/>
        <v>0</v>
      </c>
      <c r="G183" s="122" t="s">
        <v>400</v>
      </c>
    </row>
    <row r="184" spans="1:24" ht="31.5">
      <c r="A184" s="207"/>
      <c r="B184" s="176" t="s">
        <v>360</v>
      </c>
      <c r="C184" s="152">
        <v>2.56</v>
      </c>
      <c r="D184" s="117">
        <v>0</v>
      </c>
      <c r="E184" s="143">
        <f t="shared" si="6"/>
        <v>-2.56</v>
      </c>
      <c r="F184" s="143">
        <f t="shared" si="7"/>
        <v>0</v>
      </c>
      <c r="G184" s="122" t="s">
        <v>400</v>
      </c>
    </row>
    <row r="185" spans="1:24" ht="78.75">
      <c r="A185" s="207"/>
      <c r="B185" s="176" t="s">
        <v>361</v>
      </c>
      <c r="C185" s="152">
        <v>90</v>
      </c>
      <c r="D185" s="117">
        <v>0</v>
      </c>
      <c r="E185" s="143">
        <f t="shared" si="6"/>
        <v>-90</v>
      </c>
      <c r="F185" s="143">
        <f t="shared" si="7"/>
        <v>0</v>
      </c>
      <c r="G185" s="122" t="s">
        <v>400</v>
      </c>
    </row>
    <row r="186" spans="1:24">
      <c r="A186" s="221" t="s">
        <v>132</v>
      </c>
      <c r="B186" s="1002" t="s">
        <v>131</v>
      </c>
      <c r="C186" s="1003"/>
      <c r="D186" s="1003"/>
      <c r="E186" s="997"/>
      <c r="F186" s="997"/>
      <c r="G186" s="998"/>
    </row>
    <row r="187" spans="1:24" s="149" customFormat="1">
      <c r="A187" s="212" t="s">
        <v>135</v>
      </c>
      <c r="B187" s="999" t="s">
        <v>133</v>
      </c>
      <c r="C187" s="1000"/>
      <c r="D187" s="1000"/>
      <c r="E187" s="1000"/>
      <c r="F187" s="1000"/>
      <c r="G187" s="1001"/>
      <c r="H187" s="124"/>
      <c r="I187" s="124"/>
      <c r="J187" s="124"/>
      <c r="K187" s="124"/>
      <c r="L187" s="124"/>
      <c r="M187" s="124"/>
      <c r="N187" s="124"/>
      <c r="O187" s="124"/>
      <c r="P187" s="124"/>
      <c r="Q187" s="124"/>
      <c r="R187" s="124"/>
      <c r="S187" s="124"/>
      <c r="T187" s="124"/>
      <c r="U187" s="124"/>
      <c r="V187" s="124"/>
      <c r="W187" s="124"/>
      <c r="X187" s="124"/>
    </row>
    <row r="188" spans="1:24" s="149" customFormat="1">
      <c r="A188" s="212"/>
      <c r="B188" s="1000" t="s">
        <v>134</v>
      </c>
      <c r="C188" s="1000"/>
      <c r="D188" s="1000"/>
      <c r="E188" s="1000"/>
      <c r="F188" s="1000"/>
      <c r="G188" s="1001"/>
      <c r="H188" s="124"/>
      <c r="I188" s="124"/>
      <c r="J188" s="124"/>
      <c r="K188" s="124"/>
      <c r="L188" s="124"/>
      <c r="M188" s="124"/>
      <c r="N188" s="124"/>
      <c r="O188" s="124"/>
      <c r="P188" s="124"/>
      <c r="Q188" s="124"/>
      <c r="R188" s="124"/>
      <c r="S188" s="124"/>
      <c r="T188" s="124"/>
      <c r="U188" s="124"/>
      <c r="V188" s="124"/>
      <c r="W188" s="124"/>
      <c r="X188" s="124"/>
    </row>
    <row r="189" spans="1:24">
      <c r="A189" s="209"/>
      <c r="B189" s="123" t="s">
        <v>196</v>
      </c>
      <c r="C189" s="222">
        <v>93744</v>
      </c>
      <c r="D189" s="223">
        <v>35190.177199999998</v>
      </c>
      <c r="E189" s="222">
        <f>D189-C189</f>
        <v>-58553.822800000002</v>
      </c>
      <c r="F189" s="114">
        <f>D189/C189*100</f>
        <v>37.538591483188256</v>
      </c>
      <c r="G189" s="122" t="s">
        <v>400</v>
      </c>
    </row>
    <row r="190" spans="1:24" ht="31.5">
      <c r="A190" s="209"/>
      <c r="B190" s="123" t="s">
        <v>404</v>
      </c>
      <c r="C190" s="114">
        <v>12704</v>
      </c>
      <c r="D190" s="143">
        <v>7693</v>
      </c>
      <c r="E190" s="222">
        <f>D190-C190</f>
        <v>-5011</v>
      </c>
      <c r="F190" s="114">
        <f>D190/C190*100</f>
        <v>60.555730478589417</v>
      </c>
      <c r="G190" s="122" t="s">
        <v>405</v>
      </c>
    </row>
    <row r="191" spans="1:24" ht="31.5">
      <c r="A191" s="209"/>
      <c r="B191" s="123" t="s">
        <v>221</v>
      </c>
      <c r="C191" s="114">
        <v>5000</v>
      </c>
      <c r="D191" s="143">
        <v>1260</v>
      </c>
      <c r="E191" s="114">
        <f>D191-C191</f>
        <v>-3740</v>
      </c>
      <c r="F191" s="114">
        <f>D191/C191*100</f>
        <v>25.2</v>
      </c>
      <c r="G191" s="122" t="s">
        <v>405</v>
      </c>
    </row>
    <row r="192" spans="1:24" ht="31.5">
      <c r="A192" s="209"/>
      <c r="B192" s="123" t="s">
        <v>222</v>
      </c>
      <c r="C192" s="222">
        <v>18</v>
      </c>
      <c r="D192" s="223">
        <f>D189/D191</f>
        <v>27.92871206349206</v>
      </c>
      <c r="E192" s="222">
        <f>D192-C192</f>
        <v>9.9287120634920605</v>
      </c>
      <c r="F192" s="114">
        <f>D192/C192*100</f>
        <v>155.15951146384478</v>
      </c>
      <c r="G192" s="122" t="s">
        <v>400</v>
      </c>
    </row>
    <row r="193" spans="1:24" ht="78.75">
      <c r="A193" s="209"/>
      <c r="B193" s="123" t="s">
        <v>223</v>
      </c>
      <c r="C193" s="114">
        <v>84.1</v>
      </c>
      <c r="D193" s="143">
        <v>64.2</v>
      </c>
      <c r="E193" s="114">
        <f>D193-C193</f>
        <v>-19.899999999999991</v>
      </c>
      <c r="F193" s="114">
        <f>D193/C193*100</f>
        <v>76.337693222354346</v>
      </c>
      <c r="G193" s="122" t="s">
        <v>405</v>
      </c>
    </row>
    <row r="194" spans="1:24">
      <c r="A194" s="138"/>
      <c r="B194" s="1000" t="s">
        <v>137</v>
      </c>
      <c r="C194" s="1000"/>
      <c r="D194" s="1000"/>
      <c r="E194" s="1000"/>
      <c r="F194" s="1000"/>
      <c r="G194" s="1001"/>
    </row>
    <row r="195" spans="1:24" ht="31.5">
      <c r="A195" s="138"/>
      <c r="B195" s="123" t="s">
        <v>224</v>
      </c>
      <c r="C195" s="118">
        <v>6795</v>
      </c>
      <c r="D195" s="121">
        <v>1924</v>
      </c>
      <c r="E195" s="121">
        <f>D195-C195</f>
        <v>-4871</v>
      </c>
      <c r="F195" s="118">
        <f>D195/C195*100</f>
        <v>28.314937454010302</v>
      </c>
      <c r="G195" s="122" t="s">
        <v>400</v>
      </c>
    </row>
    <row r="196" spans="1:24" ht="47.25">
      <c r="A196" s="144"/>
      <c r="B196" s="123" t="s">
        <v>225</v>
      </c>
      <c r="C196" s="116">
        <v>45</v>
      </c>
      <c r="D196" s="117">
        <v>25</v>
      </c>
      <c r="E196" s="117">
        <f>D196-C196</f>
        <v>-20</v>
      </c>
      <c r="F196" s="114">
        <f>D196/C196*100</f>
        <v>55.555555555555557</v>
      </c>
      <c r="G196" s="122" t="s">
        <v>400</v>
      </c>
    </row>
    <row r="197" spans="1:24" ht="39.75" customHeight="1">
      <c r="A197" s="169" t="s">
        <v>362</v>
      </c>
      <c r="B197" s="999" t="s">
        <v>363</v>
      </c>
      <c r="C197" s="1000"/>
      <c r="D197" s="1000"/>
      <c r="E197" s="1000"/>
      <c r="F197" s="1000"/>
      <c r="G197" s="1001"/>
    </row>
    <row r="198" spans="1:24">
      <c r="A198" s="169"/>
      <c r="B198" s="151" t="s">
        <v>364</v>
      </c>
      <c r="C198" s="152">
        <v>350</v>
      </c>
      <c r="D198" s="117">
        <v>0</v>
      </c>
      <c r="E198" s="117">
        <f t="shared" ref="E198:E221" si="8">D198-C198</f>
        <v>-350</v>
      </c>
      <c r="F198" s="114">
        <f t="shared" ref="F198:F221" si="9">D198/C198*100</f>
        <v>0</v>
      </c>
      <c r="G198" s="122" t="s">
        <v>400</v>
      </c>
    </row>
    <row r="199" spans="1:24" ht="47.25">
      <c r="A199" s="169"/>
      <c r="B199" s="151" t="s">
        <v>365</v>
      </c>
      <c r="C199" s="224">
        <v>5</v>
      </c>
      <c r="D199" s="117">
        <v>0</v>
      </c>
      <c r="E199" s="117">
        <f t="shared" si="8"/>
        <v>-5</v>
      </c>
      <c r="F199" s="114">
        <f t="shared" si="9"/>
        <v>0</v>
      </c>
      <c r="G199" s="122" t="s">
        <v>400</v>
      </c>
    </row>
    <row r="200" spans="1:24" ht="47.25">
      <c r="A200" s="169"/>
      <c r="B200" s="151" t="s">
        <v>366</v>
      </c>
      <c r="C200" s="152">
        <v>0.06</v>
      </c>
      <c r="D200" s="117">
        <v>0</v>
      </c>
      <c r="E200" s="117">
        <f t="shared" si="8"/>
        <v>-0.06</v>
      </c>
      <c r="F200" s="114">
        <f t="shared" si="9"/>
        <v>0</v>
      </c>
      <c r="G200" s="122" t="s">
        <v>400</v>
      </c>
    </row>
    <row r="201" spans="1:24" s="149" customFormat="1" ht="21" customHeight="1">
      <c r="A201" s="225" t="s">
        <v>367</v>
      </c>
      <c r="B201" s="1007" t="s">
        <v>142</v>
      </c>
      <c r="C201" s="1008"/>
      <c r="D201" s="1008"/>
      <c r="E201" s="1008"/>
      <c r="F201" s="1008"/>
      <c r="G201" s="1009"/>
      <c r="H201" s="124"/>
      <c r="I201" s="124"/>
      <c r="J201" s="124"/>
      <c r="K201" s="124"/>
      <c r="L201" s="124"/>
      <c r="M201" s="124"/>
      <c r="N201" s="124"/>
      <c r="O201" s="124"/>
      <c r="P201" s="124"/>
      <c r="Q201" s="124"/>
      <c r="R201" s="124"/>
      <c r="S201" s="124"/>
      <c r="T201" s="124"/>
      <c r="U201" s="124"/>
      <c r="V201" s="124"/>
      <c r="W201" s="124"/>
      <c r="X201" s="124"/>
    </row>
    <row r="202" spans="1:24" s="198" customFormat="1">
      <c r="A202" s="226" t="s">
        <v>376</v>
      </c>
      <c r="B202" s="999" t="s">
        <v>144</v>
      </c>
      <c r="C202" s="1000"/>
      <c r="D202" s="1000"/>
      <c r="E202" s="1000"/>
      <c r="F202" s="1000"/>
      <c r="G202" s="1001"/>
      <c r="H202" s="124"/>
      <c r="I202" s="124"/>
      <c r="J202" s="124"/>
      <c r="K202" s="124"/>
      <c r="L202" s="124"/>
      <c r="M202" s="124"/>
      <c r="N202" s="124"/>
      <c r="O202" s="124"/>
      <c r="P202" s="124"/>
      <c r="Q202" s="124"/>
      <c r="R202" s="124"/>
      <c r="S202" s="124"/>
      <c r="T202" s="124"/>
      <c r="U202" s="124"/>
      <c r="V202" s="124"/>
      <c r="W202" s="124"/>
      <c r="X202" s="124"/>
    </row>
    <row r="203" spans="1:24" s="115" customFormat="1" ht="78.75">
      <c r="A203" s="169"/>
      <c r="B203" s="180" t="s">
        <v>249</v>
      </c>
      <c r="C203" s="163">
        <v>270</v>
      </c>
      <c r="D203" s="120">
        <v>0</v>
      </c>
      <c r="E203" s="120">
        <f t="shared" si="8"/>
        <v>-270</v>
      </c>
      <c r="F203" s="118">
        <f t="shared" si="9"/>
        <v>0</v>
      </c>
      <c r="G203" s="122" t="s">
        <v>398</v>
      </c>
      <c r="H203" s="124"/>
      <c r="I203" s="124"/>
      <c r="J203" s="124"/>
      <c r="K203" s="124"/>
      <c r="L203" s="124"/>
      <c r="M203" s="124"/>
      <c r="N203" s="124"/>
      <c r="O203" s="124"/>
      <c r="P203" s="124"/>
      <c r="Q203" s="124"/>
      <c r="R203" s="124"/>
      <c r="S203" s="124"/>
      <c r="T203" s="124"/>
      <c r="U203" s="124"/>
      <c r="V203" s="124"/>
      <c r="W203" s="124"/>
      <c r="X203" s="124"/>
    </row>
    <row r="204" spans="1:24" s="115" customFormat="1">
      <c r="A204" s="169"/>
      <c r="B204" s="227" t="s">
        <v>249</v>
      </c>
      <c r="C204" s="163">
        <v>135</v>
      </c>
      <c r="D204" s="120">
        <v>0</v>
      </c>
      <c r="E204" s="120">
        <f t="shared" si="8"/>
        <v>-135</v>
      </c>
      <c r="F204" s="118">
        <f t="shared" si="9"/>
        <v>0</v>
      </c>
      <c r="G204" s="122" t="s">
        <v>400</v>
      </c>
      <c r="H204" s="124"/>
      <c r="I204" s="124"/>
      <c r="J204" s="124"/>
      <c r="K204" s="124"/>
      <c r="L204" s="124"/>
      <c r="M204" s="124"/>
      <c r="N204" s="124"/>
      <c r="O204" s="124"/>
      <c r="P204" s="124"/>
      <c r="Q204" s="124"/>
      <c r="R204" s="124"/>
      <c r="S204" s="124"/>
      <c r="T204" s="124"/>
      <c r="U204" s="124"/>
      <c r="V204" s="124"/>
      <c r="W204" s="124"/>
      <c r="X204" s="124"/>
    </row>
    <row r="205" spans="1:24" s="115" customFormat="1" ht="48" customHeight="1">
      <c r="A205" s="169"/>
      <c r="B205" s="180" t="s">
        <v>368</v>
      </c>
      <c r="C205" s="152">
        <v>35</v>
      </c>
      <c r="D205" s="117">
        <v>0</v>
      </c>
      <c r="E205" s="117">
        <f t="shared" si="8"/>
        <v>-35</v>
      </c>
      <c r="F205" s="114">
        <f t="shared" si="9"/>
        <v>0</v>
      </c>
      <c r="G205" s="122" t="s">
        <v>400</v>
      </c>
      <c r="H205" s="124"/>
      <c r="I205" s="124"/>
      <c r="J205" s="124"/>
      <c r="K205" s="124"/>
      <c r="L205" s="124"/>
      <c r="M205" s="124"/>
      <c r="N205" s="124"/>
      <c r="O205" s="124"/>
      <c r="P205" s="124"/>
      <c r="Q205" s="124"/>
      <c r="R205" s="124"/>
      <c r="S205" s="124"/>
      <c r="T205" s="124"/>
      <c r="U205" s="124"/>
      <c r="V205" s="124"/>
      <c r="W205" s="124"/>
      <c r="X205" s="124"/>
    </row>
    <row r="206" spans="1:24" s="115" customFormat="1" ht="47.25">
      <c r="A206" s="169"/>
      <c r="B206" s="180" t="s">
        <v>369</v>
      </c>
      <c r="C206" s="152">
        <v>11.57</v>
      </c>
      <c r="D206" s="117">
        <v>0</v>
      </c>
      <c r="E206" s="117">
        <f t="shared" si="8"/>
        <v>-11.57</v>
      </c>
      <c r="F206" s="114">
        <f t="shared" si="9"/>
        <v>0</v>
      </c>
      <c r="G206" s="122" t="s">
        <v>400</v>
      </c>
      <c r="H206" s="124"/>
      <c r="I206" s="124"/>
      <c r="J206" s="124"/>
      <c r="K206" s="124"/>
      <c r="L206" s="124"/>
      <c r="M206" s="124"/>
      <c r="N206" s="124"/>
      <c r="O206" s="124"/>
      <c r="P206" s="124"/>
      <c r="Q206" s="124"/>
      <c r="R206" s="124"/>
      <c r="S206" s="124"/>
      <c r="T206" s="124"/>
      <c r="U206" s="124"/>
      <c r="V206" s="124"/>
      <c r="W206" s="124"/>
      <c r="X206" s="124"/>
    </row>
    <row r="207" spans="1:24" s="115" customFormat="1" ht="31.5">
      <c r="A207" s="169"/>
      <c r="B207" s="228" t="s">
        <v>245</v>
      </c>
      <c r="C207" s="152">
        <v>7.71</v>
      </c>
      <c r="D207" s="117">
        <v>0</v>
      </c>
      <c r="E207" s="117">
        <f t="shared" si="8"/>
        <v>-7.71</v>
      </c>
      <c r="F207" s="114">
        <f t="shared" si="9"/>
        <v>0</v>
      </c>
      <c r="G207" s="122" t="s">
        <v>400</v>
      </c>
      <c r="H207" s="124"/>
      <c r="I207" s="124"/>
      <c r="J207" s="124"/>
      <c r="K207" s="124"/>
      <c r="L207" s="124"/>
      <c r="M207" s="124"/>
      <c r="N207" s="124"/>
      <c r="O207" s="124"/>
      <c r="P207" s="124"/>
      <c r="Q207" s="124"/>
      <c r="R207" s="124"/>
      <c r="S207" s="124"/>
      <c r="T207" s="124"/>
      <c r="U207" s="124"/>
      <c r="V207" s="124"/>
      <c r="W207" s="124"/>
      <c r="X207" s="124"/>
    </row>
    <row r="208" spans="1:24" s="115" customFormat="1" ht="63">
      <c r="A208" s="169"/>
      <c r="B208" s="180" t="s">
        <v>370</v>
      </c>
      <c r="C208" s="152">
        <v>90</v>
      </c>
      <c r="D208" s="117">
        <v>0</v>
      </c>
      <c r="E208" s="117">
        <f t="shared" si="8"/>
        <v>-90</v>
      </c>
      <c r="F208" s="114">
        <f t="shared" si="9"/>
        <v>0</v>
      </c>
      <c r="G208" s="122" t="s">
        <v>400</v>
      </c>
      <c r="H208" s="124"/>
      <c r="I208" s="124"/>
      <c r="J208" s="124"/>
      <c r="K208" s="124"/>
      <c r="L208" s="124"/>
      <c r="M208" s="124"/>
      <c r="N208" s="124"/>
      <c r="O208" s="124"/>
      <c r="P208" s="124"/>
      <c r="Q208" s="124"/>
      <c r="R208" s="124"/>
      <c r="S208" s="124"/>
      <c r="T208" s="124"/>
      <c r="U208" s="124"/>
      <c r="V208" s="124"/>
      <c r="W208" s="124"/>
      <c r="X208" s="124"/>
    </row>
    <row r="209" spans="1:24" s="115" customFormat="1" ht="17.25" customHeight="1">
      <c r="A209" s="159" t="s">
        <v>377</v>
      </c>
      <c r="B209" s="1010" t="s">
        <v>145</v>
      </c>
      <c r="C209" s="1011"/>
      <c r="D209" s="1011"/>
      <c r="E209" s="1011"/>
      <c r="F209" s="1011"/>
      <c r="G209" s="1012"/>
      <c r="H209" s="124"/>
      <c r="I209" s="124"/>
      <c r="J209" s="124"/>
      <c r="K209" s="124"/>
      <c r="L209" s="124"/>
      <c r="M209" s="124"/>
      <c r="N209" s="124"/>
      <c r="O209" s="124"/>
      <c r="P209" s="124"/>
      <c r="Q209" s="124"/>
      <c r="R209" s="124"/>
      <c r="S209" s="124"/>
      <c r="T209" s="124"/>
      <c r="U209" s="124"/>
      <c r="V209" s="124"/>
      <c r="W209" s="124"/>
      <c r="X209" s="124"/>
    </row>
    <row r="210" spans="1:24" s="115" customFormat="1" ht="78.75">
      <c r="A210" s="169"/>
      <c r="B210" s="176" t="s">
        <v>249</v>
      </c>
      <c r="C210" s="152">
        <v>225</v>
      </c>
      <c r="D210" s="117">
        <v>0</v>
      </c>
      <c r="E210" s="117">
        <f t="shared" si="8"/>
        <v>-225</v>
      </c>
      <c r="F210" s="114">
        <f t="shared" si="9"/>
        <v>0</v>
      </c>
      <c r="G210" s="122" t="s">
        <v>398</v>
      </c>
      <c r="H210" s="124"/>
      <c r="I210" s="124"/>
      <c r="J210" s="124"/>
      <c r="K210" s="124"/>
      <c r="L210" s="124"/>
      <c r="M210" s="124"/>
      <c r="N210" s="124"/>
      <c r="O210" s="124"/>
      <c r="P210" s="124"/>
      <c r="Q210" s="124"/>
      <c r="R210" s="124"/>
      <c r="S210" s="124"/>
      <c r="T210" s="124"/>
      <c r="U210" s="124"/>
      <c r="V210" s="124"/>
      <c r="W210" s="124"/>
      <c r="X210" s="124"/>
    </row>
    <row r="211" spans="1:24" s="229" customFormat="1">
      <c r="A211" s="169"/>
      <c r="B211" s="176" t="s">
        <v>249</v>
      </c>
      <c r="C211" s="152">
        <v>178.75</v>
      </c>
      <c r="D211" s="117">
        <v>0</v>
      </c>
      <c r="E211" s="117">
        <f t="shared" si="8"/>
        <v>-178.75</v>
      </c>
      <c r="F211" s="114">
        <f t="shared" si="9"/>
        <v>0</v>
      </c>
      <c r="G211" s="122" t="s">
        <v>400</v>
      </c>
      <c r="H211" s="124"/>
      <c r="I211" s="124"/>
      <c r="J211" s="124"/>
      <c r="K211" s="124"/>
      <c r="L211" s="124"/>
      <c r="M211" s="124"/>
      <c r="N211" s="124"/>
      <c r="O211" s="124"/>
      <c r="P211" s="124"/>
      <c r="Q211" s="124"/>
      <c r="R211" s="124"/>
      <c r="S211" s="124"/>
      <c r="T211" s="124"/>
      <c r="U211" s="124"/>
      <c r="V211" s="124"/>
      <c r="W211" s="124"/>
      <c r="X211" s="124"/>
    </row>
    <row r="212" spans="1:24" s="229" customFormat="1" ht="71.25" customHeight="1">
      <c r="A212" s="169"/>
      <c r="B212" s="176" t="s">
        <v>371</v>
      </c>
      <c r="C212" s="152">
        <v>30</v>
      </c>
      <c r="D212" s="117">
        <v>0</v>
      </c>
      <c r="E212" s="117">
        <f t="shared" si="8"/>
        <v>-30</v>
      </c>
      <c r="F212" s="114">
        <f t="shared" si="9"/>
        <v>0</v>
      </c>
      <c r="G212" s="122" t="s">
        <v>400</v>
      </c>
      <c r="H212" s="124"/>
      <c r="I212" s="124"/>
      <c r="J212" s="124"/>
      <c r="K212" s="124"/>
      <c r="L212" s="124"/>
      <c r="M212" s="124"/>
      <c r="N212" s="124"/>
      <c r="O212" s="124"/>
      <c r="P212" s="124"/>
      <c r="Q212" s="124"/>
      <c r="R212" s="124"/>
      <c r="S212" s="124"/>
      <c r="T212" s="124"/>
      <c r="U212" s="124"/>
      <c r="V212" s="124"/>
      <c r="W212" s="124"/>
      <c r="X212" s="124"/>
    </row>
    <row r="213" spans="1:24" s="229" customFormat="1" ht="63">
      <c r="A213" s="169"/>
      <c r="B213" s="176" t="s">
        <v>372</v>
      </c>
      <c r="C213" s="155">
        <v>13.46</v>
      </c>
      <c r="D213" s="117">
        <v>0</v>
      </c>
      <c r="E213" s="117">
        <f t="shared" si="8"/>
        <v>-13.46</v>
      </c>
      <c r="F213" s="114">
        <f t="shared" si="9"/>
        <v>0</v>
      </c>
      <c r="G213" s="122" t="s">
        <v>400</v>
      </c>
      <c r="H213" s="124"/>
      <c r="I213" s="124"/>
      <c r="J213" s="124"/>
      <c r="K213" s="124"/>
      <c r="L213" s="124"/>
      <c r="M213" s="124"/>
      <c r="N213" s="124"/>
      <c r="O213" s="124"/>
      <c r="P213" s="124"/>
      <c r="Q213" s="124"/>
      <c r="R213" s="124"/>
      <c r="S213" s="124"/>
      <c r="T213" s="124"/>
      <c r="U213" s="124"/>
      <c r="V213" s="124"/>
      <c r="W213" s="124"/>
      <c r="X213" s="124"/>
    </row>
    <row r="214" spans="1:24" s="229" customFormat="1" ht="31.5">
      <c r="A214" s="159"/>
      <c r="B214" s="230" t="s">
        <v>245</v>
      </c>
      <c r="C214" s="179">
        <v>7.5</v>
      </c>
      <c r="D214" s="119">
        <v>0</v>
      </c>
      <c r="E214" s="117">
        <f t="shared" si="8"/>
        <v>-7.5</v>
      </c>
      <c r="F214" s="114">
        <f t="shared" si="9"/>
        <v>0</v>
      </c>
      <c r="G214" s="122" t="s">
        <v>400</v>
      </c>
      <c r="H214" s="124"/>
      <c r="I214" s="124"/>
      <c r="J214" s="124"/>
      <c r="K214" s="124"/>
      <c r="L214" s="124"/>
      <c r="M214" s="124"/>
      <c r="N214" s="124"/>
      <c r="O214" s="124"/>
      <c r="P214" s="124"/>
      <c r="Q214" s="124"/>
      <c r="R214" s="124"/>
      <c r="S214" s="124"/>
      <c r="T214" s="124"/>
      <c r="U214" s="124"/>
      <c r="V214" s="124"/>
      <c r="W214" s="124"/>
      <c r="X214" s="124"/>
    </row>
    <row r="215" spans="1:24" s="115" customFormat="1" ht="20.25" customHeight="1">
      <c r="A215" s="169" t="s">
        <v>378</v>
      </c>
      <c r="B215" s="1029" t="s">
        <v>146</v>
      </c>
      <c r="C215" s="1030"/>
      <c r="D215" s="1030"/>
      <c r="E215" s="1030"/>
      <c r="F215" s="1030"/>
      <c r="G215" s="1031"/>
      <c r="H215" s="124"/>
      <c r="I215" s="124"/>
      <c r="J215" s="124"/>
      <c r="K215" s="124"/>
      <c r="L215" s="124"/>
      <c r="M215" s="124"/>
      <c r="N215" s="124"/>
      <c r="O215" s="124"/>
      <c r="P215" s="124"/>
      <c r="Q215" s="124"/>
      <c r="R215" s="124"/>
      <c r="S215" s="124"/>
      <c r="T215" s="124"/>
      <c r="U215" s="124"/>
      <c r="V215" s="124"/>
      <c r="W215" s="124"/>
      <c r="X215" s="124"/>
    </row>
    <row r="216" spans="1:24" s="115" customFormat="1" ht="78.75">
      <c r="A216" s="169"/>
      <c r="B216" s="176" t="s">
        <v>364</v>
      </c>
      <c r="C216" s="152">
        <v>180</v>
      </c>
      <c r="D216" s="117">
        <v>0</v>
      </c>
      <c r="E216" s="117">
        <f t="shared" si="8"/>
        <v>-180</v>
      </c>
      <c r="F216" s="114">
        <f t="shared" si="9"/>
        <v>0</v>
      </c>
      <c r="G216" s="122" t="s">
        <v>398</v>
      </c>
      <c r="H216" s="124"/>
      <c r="I216" s="124"/>
      <c r="J216" s="124"/>
      <c r="K216" s="124"/>
      <c r="L216" s="124"/>
      <c r="M216" s="124"/>
      <c r="N216" s="124"/>
      <c r="O216" s="124"/>
      <c r="P216" s="124"/>
      <c r="Q216" s="124"/>
      <c r="R216" s="124"/>
      <c r="S216" s="124"/>
      <c r="T216" s="124"/>
      <c r="U216" s="124"/>
      <c r="V216" s="124"/>
      <c r="W216" s="124"/>
      <c r="X216" s="124"/>
    </row>
    <row r="217" spans="1:24" s="115" customFormat="1">
      <c r="A217" s="169"/>
      <c r="B217" s="176" t="s">
        <v>266</v>
      </c>
      <c r="C217" s="152">
        <v>90</v>
      </c>
      <c r="D217" s="117">
        <v>0</v>
      </c>
      <c r="E217" s="117">
        <f t="shared" si="8"/>
        <v>-90</v>
      </c>
      <c r="F217" s="114">
        <f t="shared" si="9"/>
        <v>0</v>
      </c>
      <c r="G217" s="122" t="s">
        <v>400</v>
      </c>
      <c r="H217" s="124"/>
      <c r="I217" s="124"/>
      <c r="J217" s="124"/>
      <c r="K217" s="124"/>
      <c r="L217" s="124"/>
      <c r="M217" s="124"/>
      <c r="N217" s="124"/>
      <c r="O217" s="124"/>
      <c r="P217" s="124"/>
      <c r="Q217" s="124"/>
      <c r="R217" s="124"/>
      <c r="S217" s="124"/>
      <c r="T217" s="124"/>
      <c r="U217" s="124"/>
      <c r="V217" s="124"/>
      <c r="W217" s="124"/>
      <c r="X217" s="124"/>
    </row>
    <row r="218" spans="1:24" s="115" customFormat="1" ht="56.25" customHeight="1">
      <c r="A218" s="169"/>
      <c r="B218" s="176" t="s">
        <v>373</v>
      </c>
      <c r="C218" s="152">
        <v>23</v>
      </c>
      <c r="D218" s="117">
        <v>0</v>
      </c>
      <c r="E218" s="117">
        <f t="shared" si="8"/>
        <v>-23</v>
      </c>
      <c r="F218" s="114">
        <f t="shared" si="9"/>
        <v>0</v>
      </c>
      <c r="G218" s="122" t="s">
        <v>400</v>
      </c>
      <c r="H218" s="124"/>
      <c r="I218" s="124"/>
      <c r="J218" s="124"/>
      <c r="K218" s="124"/>
      <c r="L218" s="124"/>
      <c r="M218" s="124"/>
      <c r="N218" s="124"/>
      <c r="O218" s="124"/>
      <c r="P218" s="124"/>
      <c r="Q218" s="124"/>
      <c r="R218" s="124"/>
      <c r="S218" s="124"/>
      <c r="T218" s="124"/>
      <c r="U218" s="124"/>
      <c r="V218" s="124"/>
      <c r="W218" s="124"/>
      <c r="X218" s="124"/>
    </row>
    <row r="219" spans="1:24" s="115" customFormat="1" ht="64.5" customHeight="1">
      <c r="A219" s="169"/>
      <c r="B219" s="176" t="s">
        <v>375</v>
      </c>
      <c r="C219" s="152">
        <v>11.74</v>
      </c>
      <c r="D219" s="117">
        <v>0</v>
      </c>
      <c r="E219" s="117">
        <f t="shared" si="8"/>
        <v>-11.74</v>
      </c>
      <c r="F219" s="114">
        <f t="shared" si="9"/>
        <v>0</v>
      </c>
      <c r="G219" s="122" t="s">
        <v>400</v>
      </c>
      <c r="H219" s="124"/>
      <c r="I219" s="124"/>
      <c r="J219" s="124"/>
      <c r="K219" s="124"/>
      <c r="L219" s="124"/>
      <c r="M219" s="124"/>
      <c r="N219" s="124"/>
      <c r="O219" s="124"/>
      <c r="P219" s="124"/>
      <c r="Q219" s="124"/>
      <c r="R219" s="124"/>
      <c r="S219" s="124"/>
      <c r="T219" s="124"/>
      <c r="U219" s="124"/>
      <c r="V219" s="124"/>
      <c r="W219" s="124"/>
      <c r="X219" s="124"/>
    </row>
    <row r="220" spans="1:24" s="115" customFormat="1" ht="31.5">
      <c r="A220" s="169"/>
      <c r="B220" s="220" t="s">
        <v>245</v>
      </c>
      <c r="C220" s="155">
        <v>7.83</v>
      </c>
      <c r="D220" s="117">
        <v>0</v>
      </c>
      <c r="E220" s="117">
        <f t="shared" si="8"/>
        <v>-7.83</v>
      </c>
      <c r="F220" s="114">
        <f t="shared" si="9"/>
        <v>0</v>
      </c>
      <c r="G220" s="122" t="s">
        <v>400</v>
      </c>
      <c r="H220" s="124"/>
      <c r="I220" s="124"/>
      <c r="J220" s="124"/>
      <c r="K220" s="124"/>
      <c r="L220" s="124"/>
      <c r="M220" s="124"/>
      <c r="N220" s="124"/>
      <c r="O220" s="124"/>
      <c r="P220" s="124"/>
      <c r="Q220" s="124"/>
      <c r="R220" s="124"/>
      <c r="S220" s="124"/>
      <c r="T220" s="124"/>
      <c r="U220" s="124"/>
      <c r="V220" s="124"/>
      <c r="W220" s="124"/>
      <c r="X220" s="124"/>
    </row>
    <row r="221" spans="1:24" s="115" customFormat="1" ht="47.25">
      <c r="A221" s="169"/>
      <c r="B221" s="176" t="s">
        <v>374</v>
      </c>
      <c r="C221" s="152">
        <v>60</v>
      </c>
      <c r="D221" s="117">
        <v>0</v>
      </c>
      <c r="E221" s="117">
        <f t="shared" si="8"/>
        <v>-60</v>
      </c>
      <c r="F221" s="114">
        <f t="shared" si="9"/>
        <v>0</v>
      </c>
      <c r="G221" s="122" t="s">
        <v>400</v>
      </c>
      <c r="H221" s="124"/>
      <c r="I221" s="124"/>
      <c r="J221" s="124"/>
      <c r="K221" s="124"/>
      <c r="L221" s="124"/>
      <c r="M221" s="124"/>
      <c r="N221" s="124"/>
      <c r="O221" s="124"/>
      <c r="P221" s="124"/>
      <c r="Q221" s="124"/>
      <c r="R221" s="124"/>
      <c r="S221" s="124"/>
      <c r="T221" s="124"/>
      <c r="U221" s="124"/>
      <c r="V221" s="124"/>
      <c r="W221" s="124"/>
      <c r="X221" s="124"/>
    </row>
    <row r="222" spans="1:24" s="149" customFormat="1">
      <c r="A222" s="208" t="s">
        <v>148</v>
      </c>
      <c r="B222" s="1004" t="s">
        <v>147</v>
      </c>
      <c r="C222" s="1005"/>
      <c r="D222" s="1005"/>
      <c r="E222" s="1005"/>
      <c r="F222" s="1005"/>
      <c r="G222" s="1006"/>
      <c r="H222" s="124"/>
      <c r="I222" s="124"/>
      <c r="J222" s="124"/>
      <c r="K222" s="124"/>
      <c r="L222" s="124"/>
      <c r="M222" s="124"/>
      <c r="N222" s="124"/>
      <c r="O222" s="124"/>
      <c r="P222" s="124"/>
      <c r="Q222" s="124"/>
      <c r="R222" s="124"/>
      <c r="S222" s="124"/>
      <c r="T222" s="124"/>
      <c r="U222" s="124"/>
      <c r="V222" s="124"/>
      <c r="W222" s="124"/>
      <c r="X222" s="124"/>
    </row>
    <row r="223" spans="1:24" ht="63">
      <c r="A223" s="213"/>
      <c r="B223" s="123" t="s">
        <v>226</v>
      </c>
      <c r="C223" s="116">
        <v>35</v>
      </c>
      <c r="D223" s="117">
        <v>39</v>
      </c>
      <c r="E223" s="116">
        <f>D223-C223</f>
        <v>4</v>
      </c>
      <c r="F223" s="114">
        <f>D223/C223*100</f>
        <v>111.42857142857143</v>
      </c>
      <c r="G223" s="122" t="s">
        <v>400</v>
      </c>
    </row>
    <row r="224" spans="1:24" ht="78.75">
      <c r="A224" s="210"/>
      <c r="B224" s="123" t="s">
        <v>227</v>
      </c>
      <c r="C224" s="116">
        <v>90</v>
      </c>
      <c r="D224" s="117">
        <v>95</v>
      </c>
      <c r="E224" s="116">
        <f>D224-C224</f>
        <v>5</v>
      </c>
      <c r="F224" s="114">
        <f>D224/C224*100</f>
        <v>105.55555555555556</v>
      </c>
      <c r="G224" s="122" t="s">
        <v>400</v>
      </c>
    </row>
    <row r="225" spans="1:24">
      <c r="A225" s="208" t="s">
        <v>150</v>
      </c>
      <c r="B225" s="999" t="s">
        <v>149</v>
      </c>
      <c r="C225" s="1000"/>
      <c r="D225" s="1000"/>
      <c r="E225" s="1000"/>
      <c r="F225" s="1000"/>
      <c r="G225" s="1001"/>
    </row>
    <row r="226" spans="1:24" ht="47.25">
      <c r="A226" s="213"/>
      <c r="B226" s="123" t="s">
        <v>246</v>
      </c>
      <c r="C226" s="116">
        <v>88</v>
      </c>
      <c r="D226" s="117">
        <v>6</v>
      </c>
      <c r="E226" s="116">
        <f>D226-C226</f>
        <v>-82</v>
      </c>
      <c r="F226" s="114">
        <f>D226/C226*100</f>
        <v>6.8181818181818175</v>
      </c>
      <c r="G226" s="122" t="s">
        <v>400</v>
      </c>
    </row>
    <row r="227" spans="1:24" ht="34.5" customHeight="1">
      <c r="A227" s="210"/>
      <c r="B227" s="123" t="s">
        <v>228</v>
      </c>
      <c r="C227" s="116">
        <v>100</v>
      </c>
      <c r="D227" s="117">
        <v>33</v>
      </c>
      <c r="E227" s="116">
        <f>D227-C227</f>
        <v>-67</v>
      </c>
      <c r="F227" s="114">
        <f>D227/C227*100</f>
        <v>33</v>
      </c>
      <c r="G227" s="122" t="s">
        <v>400</v>
      </c>
    </row>
    <row r="228" spans="1:24">
      <c r="A228" s="209" t="s">
        <v>152</v>
      </c>
      <c r="B228" s="999" t="s">
        <v>151</v>
      </c>
      <c r="C228" s="1000"/>
      <c r="D228" s="1000"/>
      <c r="E228" s="1000"/>
      <c r="F228" s="1000"/>
      <c r="G228" s="1001"/>
    </row>
    <row r="229" spans="1:24">
      <c r="A229" s="213"/>
      <c r="B229" s="123" t="s">
        <v>196</v>
      </c>
      <c r="C229" s="214">
        <v>4341</v>
      </c>
      <c r="D229" s="215">
        <v>3271.79</v>
      </c>
      <c r="E229" s="231">
        <f>D229-C229</f>
        <v>-1069.21</v>
      </c>
      <c r="F229" s="118">
        <f>D229/C229*100</f>
        <v>75.369500115180827</v>
      </c>
      <c r="G229" s="122" t="s">
        <v>400</v>
      </c>
    </row>
    <row r="230" spans="1:24" ht="31.5">
      <c r="A230" s="209"/>
      <c r="B230" s="123" t="s">
        <v>229</v>
      </c>
      <c r="C230" s="118">
        <v>6040</v>
      </c>
      <c r="D230" s="121">
        <v>6781</v>
      </c>
      <c r="E230" s="118">
        <f>D230-C230</f>
        <v>741</v>
      </c>
      <c r="F230" s="118">
        <f>D230/C230*100</f>
        <v>112.26821192052981</v>
      </c>
      <c r="G230" s="122" t="s">
        <v>400</v>
      </c>
    </row>
    <row r="231" spans="1:24" ht="47.25">
      <c r="A231" s="209"/>
      <c r="B231" s="123" t="s">
        <v>230</v>
      </c>
      <c r="C231" s="231">
        <v>0.72</v>
      </c>
      <c r="D231" s="215">
        <f>D229/D230</f>
        <v>0.48249373248783367</v>
      </c>
      <c r="E231" s="231">
        <f>D231-C231</f>
        <v>-0.2375062675121663</v>
      </c>
      <c r="F231" s="118">
        <f>D231/C231*100</f>
        <v>67.013018401088004</v>
      </c>
      <c r="G231" s="122" t="s">
        <v>400</v>
      </c>
    </row>
    <row r="232" spans="1:24" ht="63">
      <c r="A232" s="210"/>
      <c r="B232" s="123" t="s">
        <v>231</v>
      </c>
      <c r="C232" s="232">
        <v>40</v>
      </c>
      <c r="D232" s="120">
        <v>56.6</v>
      </c>
      <c r="E232" s="232">
        <f>D232-C232</f>
        <v>16.600000000000001</v>
      </c>
      <c r="F232" s="118">
        <f>D232/C232*100</f>
        <v>141.5</v>
      </c>
      <c r="G232" s="122" t="s">
        <v>400</v>
      </c>
    </row>
    <row r="233" spans="1:24" s="198" customFormat="1" ht="21.75" customHeight="1">
      <c r="A233" s="233" t="s">
        <v>379</v>
      </c>
      <c r="B233" s="999" t="s">
        <v>154</v>
      </c>
      <c r="C233" s="1000"/>
      <c r="D233" s="1000"/>
      <c r="E233" s="1000"/>
      <c r="F233" s="1000"/>
      <c r="G233" s="1001"/>
      <c r="H233" s="234"/>
      <c r="I233" s="124"/>
      <c r="J233" s="124"/>
      <c r="K233" s="124"/>
      <c r="L233" s="124"/>
      <c r="M233" s="124"/>
      <c r="N233" s="234"/>
      <c r="O233" s="234"/>
      <c r="P233" s="234"/>
      <c r="Q233" s="234"/>
      <c r="R233" s="234"/>
      <c r="S233" s="234"/>
      <c r="T233" s="234"/>
      <c r="U233" s="234"/>
      <c r="V233" s="234"/>
      <c r="W233" s="234"/>
      <c r="X233" s="234"/>
    </row>
    <row r="234" spans="1:24" s="198" customFormat="1" ht="20.25" customHeight="1">
      <c r="A234" s="235" t="s">
        <v>380</v>
      </c>
      <c r="B234" s="999" t="s">
        <v>156</v>
      </c>
      <c r="C234" s="1000"/>
      <c r="D234" s="1000"/>
      <c r="E234" s="1000"/>
      <c r="F234" s="1000"/>
      <c r="G234" s="1001"/>
      <c r="H234" s="234"/>
      <c r="I234" s="124"/>
      <c r="J234" s="124"/>
      <c r="K234" s="124"/>
      <c r="L234" s="124"/>
      <c r="M234" s="124"/>
      <c r="N234" s="234"/>
      <c r="O234" s="234"/>
      <c r="P234" s="234"/>
      <c r="Q234" s="234"/>
      <c r="R234" s="234"/>
      <c r="S234" s="234"/>
      <c r="T234" s="234"/>
      <c r="U234" s="234"/>
      <c r="V234" s="234"/>
      <c r="W234" s="234"/>
      <c r="X234" s="234"/>
    </row>
    <row r="235" spans="1:24" ht="78.75">
      <c r="A235" s="207"/>
      <c r="B235" s="176" t="s">
        <v>266</v>
      </c>
      <c r="C235" s="152">
        <v>21422.09</v>
      </c>
      <c r="D235" s="117">
        <v>5077.74</v>
      </c>
      <c r="E235" s="116">
        <f>D235-C235</f>
        <v>-16344.35</v>
      </c>
      <c r="F235" s="114">
        <f>D235/C235*100</f>
        <v>23.703289454950475</v>
      </c>
      <c r="G235" s="122" t="s">
        <v>399</v>
      </c>
    </row>
    <row r="236" spans="1:24" ht="47.25">
      <c r="A236" s="207"/>
      <c r="B236" s="151" t="s">
        <v>381</v>
      </c>
      <c r="C236" s="152">
        <v>10084</v>
      </c>
      <c r="D236" s="117">
        <v>6131</v>
      </c>
      <c r="E236" s="116">
        <f>D236-C236</f>
        <v>-3953</v>
      </c>
      <c r="F236" s="114">
        <f>D236/C236*100</f>
        <v>60.79928599761999</v>
      </c>
      <c r="G236" s="122" t="s">
        <v>400</v>
      </c>
    </row>
    <row r="237" spans="1:24" ht="47.25">
      <c r="A237" s="207"/>
      <c r="B237" s="151" t="s">
        <v>382</v>
      </c>
      <c r="C237" s="174">
        <f>C235/C236</f>
        <v>2.1243643395477987</v>
      </c>
      <c r="D237" s="174">
        <f>D235/D236</f>
        <v>0.82820747023324082</v>
      </c>
      <c r="E237" s="145">
        <f>D237-C237</f>
        <v>-1.296156869314558</v>
      </c>
      <c r="F237" s="114">
        <f>D237/C237*100</f>
        <v>38.986131277723132</v>
      </c>
      <c r="G237" s="122" t="s">
        <v>400</v>
      </c>
    </row>
    <row r="238" spans="1:24" ht="63">
      <c r="A238" s="207"/>
      <c r="B238" s="151" t="s">
        <v>383</v>
      </c>
      <c r="C238" s="152">
        <v>100</v>
      </c>
      <c r="D238" s="117"/>
      <c r="E238" s="116">
        <f>D238-C238</f>
        <v>-100</v>
      </c>
      <c r="F238" s="114">
        <f>D238/C238*100</f>
        <v>0</v>
      </c>
      <c r="G238" s="122" t="s">
        <v>400</v>
      </c>
    </row>
    <row r="239" spans="1:24">
      <c r="A239" s="208" t="s">
        <v>159</v>
      </c>
      <c r="B239" s="1004" t="s">
        <v>158</v>
      </c>
      <c r="C239" s="1005"/>
      <c r="D239" s="1005"/>
      <c r="E239" s="1005"/>
      <c r="F239" s="1005"/>
      <c r="G239" s="1006"/>
    </row>
    <row r="240" spans="1:24" ht="78.75">
      <c r="A240" s="213"/>
      <c r="B240" s="123" t="s">
        <v>232</v>
      </c>
      <c r="C240" s="118">
        <v>1296</v>
      </c>
      <c r="D240" s="121">
        <v>200</v>
      </c>
      <c r="E240" s="232">
        <f>D240-C240</f>
        <v>-1096</v>
      </c>
      <c r="F240" s="118">
        <f>D240/C240*100</f>
        <v>15.432098765432098</v>
      </c>
      <c r="G240" s="122" t="s">
        <v>400</v>
      </c>
    </row>
    <row r="241" spans="1:7" ht="47.25">
      <c r="A241" s="210"/>
      <c r="B241" s="123" t="s">
        <v>233</v>
      </c>
      <c r="C241" s="232">
        <v>90</v>
      </c>
      <c r="D241" s="120">
        <v>85</v>
      </c>
      <c r="E241" s="232">
        <f>D241-C241</f>
        <v>-5</v>
      </c>
      <c r="F241" s="118">
        <f>D241/C241*100</f>
        <v>94.444444444444443</v>
      </c>
      <c r="G241" s="122" t="s">
        <v>400</v>
      </c>
    </row>
    <row r="242" spans="1:7" ht="36.75" customHeight="1">
      <c r="A242" s="209" t="s">
        <v>384</v>
      </c>
      <c r="B242" s="999" t="s">
        <v>160</v>
      </c>
      <c r="C242" s="1000"/>
      <c r="D242" s="1000"/>
      <c r="E242" s="1000"/>
      <c r="F242" s="1000"/>
      <c r="G242" s="1001"/>
    </row>
    <row r="243" spans="1:7">
      <c r="A243" s="207"/>
      <c r="B243" s="151" t="s">
        <v>249</v>
      </c>
      <c r="C243" s="163">
        <v>288</v>
      </c>
      <c r="D243" s="120">
        <v>0</v>
      </c>
      <c r="E243" s="232">
        <f>D243-C243</f>
        <v>-288</v>
      </c>
      <c r="F243" s="118">
        <f>D243/C243*100</f>
        <v>0</v>
      </c>
      <c r="G243" s="122" t="s">
        <v>400</v>
      </c>
    </row>
    <row r="244" spans="1:7" ht="47.25">
      <c r="A244" s="207"/>
      <c r="B244" s="151" t="s">
        <v>385</v>
      </c>
      <c r="C244" s="163">
        <v>5</v>
      </c>
      <c r="D244" s="120">
        <v>0</v>
      </c>
      <c r="E244" s="232">
        <f>D244-C244</f>
        <v>-5</v>
      </c>
      <c r="F244" s="118">
        <f>D244/C244*100</f>
        <v>0</v>
      </c>
      <c r="G244" s="122" t="s">
        <v>400</v>
      </c>
    </row>
    <row r="245" spans="1:7" ht="47.25">
      <c r="A245" s="207"/>
      <c r="B245" s="151" t="s">
        <v>386</v>
      </c>
      <c r="C245" s="163">
        <v>57.6</v>
      </c>
      <c r="D245" s="120">
        <v>0</v>
      </c>
      <c r="E245" s="232">
        <f>D245-C245</f>
        <v>-57.6</v>
      </c>
      <c r="F245" s="118">
        <f>D245/C245*100</f>
        <v>0</v>
      </c>
      <c r="G245" s="122" t="s">
        <v>400</v>
      </c>
    </row>
    <row r="246" spans="1:7" ht="47.25">
      <c r="A246" s="207"/>
      <c r="B246" s="151" t="s">
        <v>387</v>
      </c>
      <c r="C246" s="163">
        <v>13</v>
      </c>
      <c r="D246" s="120">
        <v>0</v>
      </c>
      <c r="E246" s="232">
        <f>D246-C246</f>
        <v>-13</v>
      </c>
      <c r="F246" s="118">
        <f>D246/C246*100</f>
        <v>0</v>
      </c>
      <c r="G246" s="122" t="s">
        <v>400</v>
      </c>
    </row>
    <row r="247" spans="1:7">
      <c r="A247" s="211" t="s">
        <v>163</v>
      </c>
      <c r="B247" s="996" t="s">
        <v>162</v>
      </c>
      <c r="C247" s="997"/>
      <c r="D247" s="997"/>
      <c r="E247" s="997"/>
      <c r="F247" s="997"/>
      <c r="G247" s="998"/>
    </row>
    <row r="248" spans="1:7" ht="31.5">
      <c r="A248" s="213"/>
      <c r="B248" s="123" t="s">
        <v>234</v>
      </c>
      <c r="C248" s="116">
        <v>41</v>
      </c>
      <c r="D248" s="117">
        <v>6</v>
      </c>
      <c r="E248" s="116">
        <f>D248-C248</f>
        <v>-35</v>
      </c>
      <c r="F248" s="114">
        <f>D248/C248*100</f>
        <v>14.634146341463413</v>
      </c>
      <c r="G248" s="122" t="s">
        <v>400</v>
      </c>
    </row>
    <row r="249" spans="1:7" ht="47.25">
      <c r="A249" s="209"/>
      <c r="B249" s="123" t="s">
        <v>235</v>
      </c>
      <c r="C249" s="116">
        <v>100</v>
      </c>
      <c r="D249" s="236">
        <f>5*100/D248</f>
        <v>83.333333333333329</v>
      </c>
      <c r="E249" s="136">
        <f>D249-C249</f>
        <v>-16.666666666666671</v>
      </c>
      <c r="F249" s="114">
        <f>D249/C249*100</f>
        <v>83.333333333333329</v>
      </c>
      <c r="G249" s="122" t="s">
        <v>400</v>
      </c>
    </row>
    <row r="250" spans="1:7" ht="47.25">
      <c r="A250" s="210"/>
      <c r="B250" s="123" t="s">
        <v>236</v>
      </c>
      <c r="C250" s="116">
        <v>100</v>
      </c>
      <c r="D250" s="117">
        <v>100</v>
      </c>
      <c r="E250" s="116">
        <f>D250-C250</f>
        <v>0</v>
      </c>
      <c r="F250" s="114">
        <f>D250/C250*100</f>
        <v>100</v>
      </c>
      <c r="G250" s="122" t="s">
        <v>400</v>
      </c>
    </row>
    <row r="251" spans="1:7">
      <c r="A251" s="125"/>
    </row>
    <row r="252" spans="1:7">
      <c r="A252" s="125"/>
    </row>
    <row r="253" spans="1:7">
      <c r="A253" s="125"/>
      <c r="B253" s="237" t="s">
        <v>406</v>
      </c>
      <c r="C253" s="238" t="s">
        <v>407</v>
      </c>
    </row>
    <row r="254" spans="1:7" ht="43.5" customHeight="1">
      <c r="A254" s="125"/>
    </row>
    <row r="255" spans="1:7" ht="16.5" customHeight="1">
      <c r="A255" s="125"/>
      <c r="B255" s="237" t="s">
        <v>408</v>
      </c>
    </row>
    <row r="256" spans="1:7">
      <c r="A256" s="125"/>
      <c r="B256" s="237" t="s">
        <v>409</v>
      </c>
    </row>
    <row r="257" spans="1:1">
      <c r="A257" s="125"/>
    </row>
    <row r="258" spans="1:1">
      <c r="A258" s="125"/>
    </row>
    <row r="259" spans="1:1">
      <c r="A259" s="125"/>
    </row>
    <row r="260" spans="1:1">
      <c r="A260" s="125"/>
    </row>
    <row r="261" spans="1:1">
      <c r="A261" s="125"/>
    </row>
    <row r="262" spans="1:1">
      <c r="A262" s="125"/>
    </row>
    <row r="263" spans="1:1">
      <c r="A263" s="125"/>
    </row>
    <row r="264" spans="1:1">
      <c r="A264" s="125"/>
    </row>
    <row r="265" spans="1:1">
      <c r="A265" s="125"/>
    </row>
    <row r="266" spans="1:1">
      <c r="A266" s="125"/>
    </row>
    <row r="267" spans="1:1">
      <c r="A267" s="125"/>
    </row>
    <row r="268" spans="1:1">
      <c r="A268" s="125"/>
    </row>
    <row r="269" spans="1:1">
      <c r="A269" s="125"/>
    </row>
    <row r="270" spans="1:1">
      <c r="A270" s="125"/>
    </row>
    <row r="271" spans="1:1">
      <c r="A271" s="125"/>
    </row>
    <row r="272" spans="1:1">
      <c r="A272" s="125"/>
    </row>
    <row r="273" spans="1:1">
      <c r="A273" s="125"/>
    </row>
    <row r="274" spans="1:1">
      <c r="A274" s="125"/>
    </row>
    <row r="275" spans="1:1">
      <c r="A275" s="125"/>
    </row>
    <row r="276" spans="1:1">
      <c r="A276" s="125"/>
    </row>
    <row r="277" spans="1:1">
      <c r="A277" s="125"/>
    </row>
    <row r="278" spans="1:1">
      <c r="A278" s="125"/>
    </row>
    <row r="279" spans="1:1">
      <c r="A279" s="125"/>
    </row>
    <row r="280" spans="1:1">
      <c r="A280" s="125"/>
    </row>
    <row r="281" spans="1:1">
      <c r="A281" s="125"/>
    </row>
    <row r="282" spans="1:1">
      <c r="A282" s="125"/>
    </row>
    <row r="283" spans="1:1">
      <c r="A283" s="125"/>
    </row>
    <row r="284" spans="1:1">
      <c r="A284" s="125"/>
    </row>
    <row r="285" spans="1:1">
      <c r="A285" s="125"/>
    </row>
    <row r="286" spans="1:1">
      <c r="A286" s="125"/>
    </row>
    <row r="287" spans="1:1">
      <c r="A287" s="125"/>
    </row>
    <row r="288" spans="1:1">
      <c r="A288" s="125"/>
    </row>
    <row r="289" spans="1:1">
      <c r="A289" s="125"/>
    </row>
    <row r="290" spans="1:1">
      <c r="A290" s="125"/>
    </row>
    <row r="291" spans="1:1">
      <c r="A291" s="125"/>
    </row>
    <row r="292" spans="1:1">
      <c r="A292" s="125"/>
    </row>
    <row r="293" spans="1:1">
      <c r="A293" s="125"/>
    </row>
    <row r="294" spans="1:1">
      <c r="A294" s="125"/>
    </row>
    <row r="295" spans="1:1">
      <c r="A295" s="125"/>
    </row>
    <row r="296" spans="1:1">
      <c r="A296" s="125"/>
    </row>
    <row r="297" spans="1:1">
      <c r="A297" s="125"/>
    </row>
    <row r="298" spans="1:1">
      <c r="A298" s="125"/>
    </row>
    <row r="299" spans="1:1">
      <c r="A299" s="125"/>
    </row>
    <row r="300" spans="1:1">
      <c r="A300" s="125"/>
    </row>
    <row r="301" spans="1:1">
      <c r="A301" s="125"/>
    </row>
    <row r="302" spans="1:1">
      <c r="A302" s="125"/>
    </row>
    <row r="303" spans="1:1">
      <c r="A303" s="125"/>
    </row>
    <row r="304" spans="1:1">
      <c r="A304" s="125"/>
    </row>
    <row r="305" spans="1:1">
      <c r="A305" s="125"/>
    </row>
    <row r="306" spans="1:1">
      <c r="A306" s="125"/>
    </row>
    <row r="307" spans="1:1">
      <c r="A307" s="125"/>
    </row>
    <row r="308" spans="1:1">
      <c r="A308" s="125"/>
    </row>
    <row r="309" spans="1:1">
      <c r="A309" s="125"/>
    </row>
    <row r="310" spans="1:1">
      <c r="A310" s="125"/>
    </row>
    <row r="311" spans="1:1">
      <c r="A311" s="125"/>
    </row>
    <row r="312" spans="1:1">
      <c r="A312" s="125"/>
    </row>
    <row r="313" spans="1:1">
      <c r="A313" s="125"/>
    </row>
    <row r="314" spans="1:1">
      <c r="A314" s="125"/>
    </row>
    <row r="315" spans="1:1">
      <c r="A315" s="125"/>
    </row>
    <row r="316" spans="1:1">
      <c r="A316" s="125"/>
    </row>
    <row r="317" spans="1:1">
      <c r="A317" s="125"/>
    </row>
    <row r="318" spans="1:1">
      <c r="A318" s="125"/>
    </row>
    <row r="319" spans="1:1">
      <c r="A319" s="125"/>
    </row>
    <row r="320" spans="1:1">
      <c r="A320" s="125"/>
    </row>
    <row r="321" spans="1:1">
      <c r="A321" s="125"/>
    </row>
    <row r="322" spans="1:1">
      <c r="A322" s="125"/>
    </row>
    <row r="323" spans="1:1">
      <c r="A323" s="125"/>
    </row>
    <row r="324" spans="1:1">
      <c r="A324" s="125"/>
    </row>
    <row r="325" spans="1:1">
      <c r="A325" s="125"/>
    </row>
    <row r="326" spans="1:1">
      <c r="A326" s="125"/>
    </row>
    <row r="327" spans="1:1">
      <c r="A327" s="125"/>
    </row>
    <row r="328" spans="1:1">
      <c r="A328" s="125"/>
    </row>
    <row r="329" spans="1:1">
      <c r="A329" s="125"/>
    </row>
    <row r="330" spans="1:1">
      <c r="A330" s="125"/>
    </row>
    <row r="331" spans="1:1">
      <c r="A331" s="125"/>
    </row>
    <row r="332" spans="1:1">
      <c r="A332" s="125"/>
    </row>
    <row r="333" spans="1:1">
      <c r="A333" s="125"/>
    </row>
    <row r="334" spans="1:1">
      <c r="A334" s="125"/>
    </row>
    <row r="335" spans="1:1">
      <c r="A335" s="125"/>
    </row>
    <row r="336" spans="1:1">
      <c r="A336" s="125"/>
    </row>
    <row r="337" spans="1:1">
      <c r="A337" s="125"/>
    </row>
    <row r="338" spans="1:1">
      <c r="A338" s="125"/>
    </row>
    <row r="339" spans="1:1">
      <c r="A339" s="125"/>
    </row>
    <row r="340" spans="1:1">
      <c r="A340" s="125"/>
    </row>
    <row r="341" spans="1:1">
      <c r="A341" s="125"/>
    </row>
    <row r="342" spans="1:1">
      <c r="A342" s="125"/>
    </row>
    <row r="343" spans="1:1">
      <c r="A343" s="125"/>
    </row>
    <row r="344" spans="1:1">
      <c r="A344" s="125"/>
    </row>
    <row r="345" spans="1:1">
      <c r="A345" s="125"/>
    </row>
    <row r="346" spans="1:1">
      <c r="A346" s="125"/>
    </row>
    <row r="347" spans="1:1">
      <c r="A347" s="125"/>
    </row>
    <row r="348" spans="1:1">
      <c r="A348" s="125"/>
    </row>
    <row r="349" spans="1:1">
      <c r="A349" s="125"/>
    </row>
    <row r="350" spans="1:1">
      <c r="A350" s="125"/>
    </row>
    <row r="351" spans="1:1">
      <c r="A351" s="125"/>
    </row>
    <row r="352" spans="1:1">
      <c r="A352" s="125"/>
    </row>
    <row r="353" spans="1:1">
      <c r="A353" s="125"/>
    </row>
    <row r="354" spans="1:1">
      <c r="A354" s="125"/>
    </row>
    <row r="355" spans="1:1">
      <c r="A355" s="125"/>
    </row>
    <row r="356" spans="1:1">
      <c r="A356" s="125"/>
    </row>
    <row r="357" spans="1:1">
      <c r="A357" s="125"/>
    </row>
    <row r="358" spans="1:1">
      <c r="A358" s="125"/>
    </row>
    <row r="359" spans="1:1">
      <c r="A359" s="125"/>
    </row>
    <row r="360" spans="1:1">
      <c r="A360" s="125"/>
    </row>
    <row r="361" spans="1:1">
      <c r="A361" s="125"/>
    </row>
    <row r="362" spans="1:1">
      <c r="A362" s="125"/>
    </row>
    <row r="363" spans="1:1">
      <c r="A363" s="125"/>
    </row>
    <row r="364" spans="1:1">
      <c r="A364" s="125"/>
    </row>
    <row r="365" spans="1:1">
      <c r="A365" s="125"/>
    </row>
    <row r="366" spans="1:1">
      <c r="A366" s="125"/>
    </row>
    <row r="367" spans="1:1">
      <c r="A367" s="125"/>
    </row>
    <row r="368" spans="1:1">
      <c r="A368" s="125"/>
    </row>
    <row r="369" spans="1:1">
      <c r="A369" s="125"/>
    </row>
    <row r="370" spans="1:1">
      <c r="A370" s="125"/>
    </row>
    <row r="371" spans="1:1">
      <c r="A371" s="125"/>
    </row>
    <row r="372" spans="1:1">
      <c r="A372" s="125"/>
    </row>
    <row r="373" spans="1:1">
      <c r="A373" s="125"/>
    </row>
    <row r="374" spans="1:1">
      <c r="A374" s="125"/>
    </row>
    <row r="375" spans="1:1">
      <c r="A375" s="125"/>
    </row>
    <row r="376" spans="1:1">
      <c r="A376" s="125"/>
    </row>
    <row r="377" spans="1:1">
      <c r="A377" s="125"/>
    </row>
    <row r="378" spans="1:1">
      <c r="A378" s="125"/>
    </row>
    <row r="379" spans="1:1">
      <c r="A379" s="125"/>
    </row>
    <row r="380" spans="1:1">
      <c r="A380" s="125"/>
    </row>
    <row r="381" spans="1:1">
      <c r="A381" s="125"/>
    </row>
    <row r="382" spans="1:1">
      <c r="A382" s="125"/>
    </row>
    <row r="383" spans="1:1">
      <c r="A383" s="125"/>
    </row>
    <row r="384" spans="1:1">
      <c r="A384" s="125"/>
    </row>
    <row r="385" spans="1:1">
      <c r="A385" s="125"/>
    </row>
    <row r="386" spans="1:1">
      <c r="A386" s="125"/>
    </row>
    <row r="387" spans="1:1">
      <c r="A387" s="125"/>
    </row>
    <row r="388" spans="1:1">
      <c r="A388" s="125"/>
    </row>
    <row r="389" spans="1:1">
      <c r="A389" s="125"/>
    </row>
    <row r="390" spans="1:1">
      <c r="A390" s="125"/>
    </row>
    <row r="391" spans="1:1">
      <c r="A391" s="125"/>
    </row>
    <row r="392" spans="1:1">
      <c r="A392" s="125"/>
    </row>
    <row r="393" spans="1:1">
      <c r="A393" s="125"/>
    </row>
    <row r="394" spans="1:1">
      <c r="A394" s="125"/>
    </row>
    <row r="395" spans="1:1">
      <c r="A395" s="125"/>
    </row>
    <row r="396" spans="1:1">
      <c r="A396" s="125"/>
    </row>
    <row r="397" spans="1:1">
      <c r="A397" s="125"/>
    </row>
    <row r="398" spans="1:1">
      <c r="A398" s="125"/>
    </row>
    <row r="399" spans="1:1">
      <c r="A399" s="125"/>
    </row>
    <row r="400" spans="1:1">
      <c r="A400" s="125"/>
    </row>
    <row r="401" spans="1:1">
      <c r="A401" s="125"/>
    </row>
    <row r="402" spans="1:1">
      <c r="A402" s="125"/>
    </row>
    <row r="403" spans="1:1">
      <c r="A403" s="125"/>
    </row>
    <row r="404" spans="1:1">
      <c r="A404" s="125"/>
    </row>
    <row r="405" spans="1:1">
      <c r="A405" s="125"/>
    </row>
    <row r="406" spans="1:1">
      <c r="A406" s="125"/>
    </row>
    <row r="407" spans="1:1">
      <c r="A407" s="125"/>
    </row>
    <row r="408" spans="1:1">
      <c r="A408" s="125"/>
    </row>
    <row r="409" spans="1:1">
      <c r="A409" s="125"/>
    </row>
    <row r="410" spans="1:1">
      <c r="A410" s="125"/>
    </row>
    <row r="411" spans="1:1">
      <c r="A411" s="125"/>
    </row>
    <row r="412" spans="1:1">
      <c r="A412" s="125"/>
    </row>
    <row r="413" spans="1:1">
      <c r="A413" s="125"/>
    </row>
    <row r="414" spans="1:1">
      <c r="A414" s="125"/>
    </row>
    <row r="415" spans="1:1">
      <c r="A415" s="125"/>
    </row>
    <row r="416" spans="1:1">
      <c r="A416" s="125"/>
    </row>
    <row r="417" spans="1:1">
      <c r="A417" s="125"/>
    </row>
    <row r="418" spans="1:1">
      <c r="A418" s="125"/>
    </row>
    <row r="419" spans="1:1">
      <c r="A419" s="125"/>
    </row>
    <row r="420" spans="1:1">
      <c r="A420" s="125"/>
    </row>
    <row r="421" spans="1:1">
      <c r="A421" s="125"/>
    </row>
    <row r="422" spans="1:1">
      <c r="A422" s="125"/>
    </row>
    <row r="423" spans="1:1">
      <c r="A423" s="125"/>
    </row>
    <row r="424" spans="1:1">
      <c r="A424" s="125"/>
    </row>
    <row r="425" spans="1:1">
      <c r="A425" s="125"/>
    </row>
    <row r="426" spans="1:1">
      <c r="A426" s="125"/>
    </row>
    <row r="427" spans="1:1">
      <c r="A427" s="125"/>
    </row>
    <row r="428" spans="1:1">
      <c r="A428" s="125"/>
    </row>
    <row r="429" spans="1:1">
      <c r="A429" s="125"/>
    </row>
    <row r="430" spans="1:1">
      <c r="A430" s="125"/>
    </row>
    <row r="431" spans="1:1">
      <c r="A431" s="125"/>
    </row>
    <row r="432" spans="1:1">
      <c r="A432" s="125"/>
    </row>
    <row r="433" spans="1:1">
      <c r="A433" s="125"/>
    </row>
    <row r="434" spans="1:1">
      <c r="A434" s="125"/>
    </row>
    <row r="435" spans="1:1">
      <c r="A435" s="125"/>
    </row>
    <row r="436" spans="1:1">
      <c r="A436" s="125"/>
    </row>
    <row r="437" spans="1:1">
      <c r="A437" s="125"/>
    </row>
    <row r="438" spans="1:1">
      <c r="A438" s="125"/>
    </row>
    <row r="439" spans="1:1">
      <c r="A439" s="125"/>
    </row>
    <row r="440" spans="1:1">
      <c r="A440" s="125"/>
    </row>
    <row r="441" spans="1:1">
      <c r="A441" s="125"/>
    </row>
    <row r="442" spans="1:1">
      <c r="A442" s="125"/>
    </row>
    <row r="443" spans="1:1">
      <c r="A443" s="125"/>
    </row>
    <row r="444" spans="1:1">
      <c r="A444" s="125"/>
    </row>
    <row r="445" spans="1:1">
      <c r="A445" s="125"/>
    </row>
    <row r="446" spans="1:1">
      <c r="A446" s="125"/>
    </row>
    <row r="447" spans="1:1">
      <c r="A447" s="125"/>
    </row>
    <row r="448" spans="1:1">
      <c r="A448" s="125"/>
    </row>
    <row r="449" spans="1:1">
      <c r="A449" s="125"/>
    </row>
    <row r="450" spans="1:1">
      <c r="A450" s="125"/>
    </row>
    <row r="451" spans="1:1">
      <c r="A451" s="125"/>
    </row>
    <row r="452" spans="1:1">
      <c r="A452" s="125"/>
    </row>
    <row r="453" spans="1:1">
      <c r="A453" s="125"/>
    </row>
    <row r="454" spans="1:1">
      <c r="A454" s="125"/>
    </row>
    <row r="455" spans="1:1">
      <c r="A455" s="125"/>
    </row>
    <row r="456" spans="1:1">
      <c r="A456" s="125"/>
    </row>
    <row r="457" spans="1:1">
      <c r="A457" s="125"/>
    </row>
    <row r="458" spans="1:1">
      <c r="A458" s="125"/>
    </row>
    <row r="459" spans="1:1">
      <c r="A459" s="125"/>
    </row>
    <row r="460" spans="1:1">
      <c r="A460" s="125"/>
    </row>
    <row r="461" spans="1:1">
      <c r="A461" s="125"/>
    </row>
    <row r="462" spans="1:1">
      <c r="A462" s="125"/>
    </row>
    <row r="463" spans="1:1">
      <c r="A463" s="125"/>
    </row>
    <row r="464" spans="1:1">
      <c r="A464" s="125"/>
    </row>
    <row r="465" spans="1:1">
      <c r="A465" s="125"/>
    </row>
    <row r="466" spans="1:1">
      <c r="A466" s="125"/>
    </row>
    <row r="467" spans="1:1">
      <c r="A467" s="125"/>
    </row>
    <row r="468" spans="1:1">
      <c r="A468" s="125"/>
    </row>
    <row r="469" spans="1:1">
      <c r="A469" s="125"/>
    </row>
    <row r="470" spans="1:1">
      <c r="A470" s="125"/>
    </row>
    <row r="471" spans="1:1">
      <c r="A471" s="125"/>
    </row>
    <row r="472" spans="1:1">
      <c r="A472" s="125"/>
    </row>
    <row r="473" spans="1:1">
      <c r="A473" s="125"/>
    </row>
    <row r="474" spans="1:1">
      <c r="A474" s="125"/>
    </row>
    <row r="475" spans="1:1">
      <c r="A475" s="125"/>
    </row>
    <row r="476" spans="1:1">
      <c r="A476" s="125"/>
    </row>
    <row r="477" spans="1:1">
      <c r="A477" s="125"/>
    </row>
    <row r="478" spans="1:1">
      <c r="A478" s="125"/>
    </row>
    <row r="479" spans="1:1">
      <c r="A479" s="125"/>
    </row>
    <row r="480" spans="1:1">
      <c r="A480" s="125"/>
    </row>
    <row r="481" spans="1:1">
      <c r="A481" s="125"/>
    </row>
    <row r="482" spans="1:1">
      <c r="A482" s="125"/>
    </row>
    <row r="483" spans="1:1">
      <c r="A483" s="125"/>
    </row>
    <row r="484" spans="1:1">
      <c r="A484" s="125"/>
    </row>
    <row r="485" spans="1:1">
      <c r="A485" s="125"/>
    </row>
    <row r="486" spans="1:1">
      <c r="A486" s="125"/>
    </row>
    <row r="487" spans="1:1">
      <c r="A487" s="125"/>
    </row>
    <row r="488" spans="1:1">
      <c r="A488" s="125"/>
    </row>
    <row r="489" spans="1:1">
      <c r="A489" s="125"/>
    </row>
    <row r="490" spans="1:1">
      <c r="A490" s="125"/>
    </row>
    <row r="491" spans="1:1">
      <c r="A491" s="125"/>
    </row>
    <row r="492" spans="1:1">
      <c r="A492" s="125"/>
    </row>
    <row r="493" spans="1:1">
      <c r="A493" s="125"/>
    </row>
    <row r="494" spans="1:1">
      <c r="A494" s="125"/>
    </row>
    <row r="495" spans="1:1">
      <c r="A495" s="125"/>
    </row>
    <row r="496" spans="1:1">
      <c r="A496" s="125"/>
    </row>
    <row r="497" spans="1:1">
      <c r="A497" s="125"/>
    </row>
    <row r="498" spans="1:1">
      <c r="A498" s="125"/>
    </row>
    <row r="499" spans="1:1">
      <c r="A499" s="125"/>
    </row>
    <row r="500" spans="1:1">
      <c r="A500" s="125"/>
    </row>
    <row r="501" spans="1:1">
      <c r="A501" s="125"/>
    </row>
    <row r="502" spans="1:1">
      <c r="A502" s="125"/>
    </row>
    <row r="503" spans="1:1">
      <c r="A503" s="125"/>
    </row>
    <row r="504" spans="1:1">
      <c r="A504" s="125"/>
    </row>
    <row r="505" spans="1:1">
      <c r="A505" s="125"/>
    </row>
    <row r="506" spans="1:1">
      <c r="A506" s="125"/>
    </row>
    <row r="507" spans="1:1">
      <c r="A507" s="125"/>
    </row>
    <row r="508" spans="1:1">
      <c r="A508" s="125"/>
    </row>
    <row r="509" spans="1:1">
      <c r="A509" s="125"/>
    </row>
    <row r="510" spans="1:1">
      <c r="A510" s="125"/>
    </row>
    <row r="511" spans="1:1">
      <c r="A511" s="125"/>
    </row>
    <row r="512" spans="1:1">
      <c r="A512" s="125"/>
    </row>
    <row r="513" spans="1:1">
      <c r="A513" s="125"/>
    </row>
    <row r="514" spans="1:1">
      <c r="A514" s="125"/>
    </row>
    <row r="515" spans="1:1">
      <c r="A515" s="125"/>
    </row>
    <row r="516" spans="1:1">
      <c r="A516" s="125"/>
    </row>
    <row r="517" spans="1:1">
      <c r="A517" s="125"/>
    </row>
    <row r="518" spans="1:1">
      <c r="A518" s="125"/>
    </row>
    <row r="519" spans="1:1">
      <c r="A519" s="125"/>
    </row>
    <row r="520" spans="1:1">
      <c r="A520" s="125"/>
    </row>
    <row r="521" spans="1:1">
      <c r="A521" s="125"/>
    </row>
    <row r="522" spans="1:1">
      <c r="A522" s="125"/>
    </row>
    <row r="523" spans="1:1">
      <c r="A523" s="125"/>
    </row>
    <row r="524" spans="1:1">
      <c r="A524" s="125"/>
    </row>
    <row r="525" spans="1:1">
      <c r="A525" s="125"/>
    </row>
    <row r="526" spans="1:1">
      <c r="A526" s="125"/>
    </row>
    <row r="527" spans="1:1">
      <c r="A527" s="125"/>
    </row>
    <row r="528" spans="1:1">
      <c r="A528" s="125"/>
    </row>
    <row r="529" spans="1:1">
      <c r="A529" s="125"/>
    </row>
    <row r="530" spans="1:1">
      <c r="A530" s="125"/>
    </row>
    <row r="531" spans="1:1">
      <c r="A531" s="125"/>
    </row>
    <row r="532" spans="1:1">
      <c r="A532" s="125"/>
    </row>
    <row r="533" spans="1:1">
      <c r="A533" s="125"/>
    </row>
    <row r="534" spans="1:1">
      <c r="A534" s="125"/>
    </row>
    <row r="535" spans="1:1">
      <c r="A535" s="125"/>
    </row>
    <row r="536" spans="1:1">
      <c r="A536" s="125"/>
    </row>
    <row r="537" spans="1:1">
      <c r="A537" s="125"/>
    </row>
    <row r="538" spans="1:1">
      <c r="A538" s="125"/>
    </row>
    <row r="539" spans="1:1">
      <c r="A539" s="125"/>
    </row>
    <row r="540" spans="1:1">
      <c r="A540" s="125"/>
    </row>
    <row r="541" spans="1:1">
      <c r="A541" s="125"/>
    </row>
    <row r="542" spans="1:1">
      <c r="A542" s="125"/>
    </row>
    <row r="543" spans="1:1">
      <c r="A543" s="125"/>
    </row>
    <row r="544" spans="1:1">
      <c r="A544" s="125"/>
    </row>
    <row r="545" spans="1:1">
      <c r="A545" s="125"/>
    </row>
    <row r="546" spans="1:1">
      <c r="A546" s="125"/>
    </row>
    <row r="547" spans="1:1">
      <c r="A547" s="125"/>
    </row>
    <row r="548" spans="1:1">
      <c r="A548" s="125"/>
    </row>
    <row r="549" spans="1:1">
      <c r="A549" s="125"/>
    </row>
    <row r="550" spans="1:1">
      <c r="A550" s="125"/>
    </row>
    <row r="551" spans="1:1">
      <c r="A551" s="125"/>
    </row>
    <row r="552" spans="1:1">
      <c r="A552" s="125"/>
    </row>
    <row r="553" spans="1:1">
      <c r="A553" s="125"/>
    </row>
    <row r="554" spans="1:1">
      <c r="A554" s="125"/>
    </row>
    <row r="555" spans="1:1">
      <c r="A555" s="125"/>
    </row>
    <row r="556" spans="1:1">
      <c r="A556" s="125"/>
    </row>
    <row r="557" spans="1:1">
      <c r="A557" s="125"/>
    </row>
    <row r="558" spans="1:1">
      <c r="A558" s="125"/>
    </row>
    <row r="559" spans="1:1">
      <c r="A559" s="125"/>
    </row>
    <row r="560" spans="1:1">
      <c r="A560" s="125"/>
    </row>
    <row r="561" spans="1:1">
      <c r="A561" s="125"/>
    </row>
    <row r="562" spans="1:1">
      <c r="A562" s="125"/>
    </row>
    <row r="563" spans="1:1">
      <c r="A563" s="125"/>
    </row>
    <row r="564" spans="1:1">
      <c r="A564" s="125"/>
    </row>
    <row r="565" spans="1:1">
      <c r="A565" s="125"/>
    </row>
    <row r="566" spans="1:1">
      <c r="A566" s="125"/>
    </row>
    <row r="567" spans="1:1">
      <c r="A567" s="125"/>
    </row>
    <row r="568" spans="1:1">
      <c r="A568" s="125"/>
    </row>
    <row r="569" spans="1:1">
      <c r="A569" s="125"/>
    </row>
    <row r="570" spans="1:1">
      <c r="A570" s="125"/>
    </row>
    <row r="571" spans="1:1">
      <c r="A571" s="125"/>
    </row>
    <row r="572" spans="1:1">
      <c r="A572" s="125"/>
    </row>
    <row r="573" spans="1:1">
      <c r="A573" s="125"/>
    </row>
    <row r="574" spans="1:1">
      <c r="A574" s="125"/>
    </row>
    <row r="575" spans="1:1">
      <c r="A575" s="125"/>
    </row>
    <row r="576" spans="1:1">
      <c r="A576" s="125"/>
    </row>
    <row r="577" spans="1:1">
      <c r="A577" s="125"/>
    </row>
    <row r="578" spans="1:1">
      <c r="A578" s="125"/>
    </row>
    <row r="579" spans="1:1">
      <c r="A579" s="125"/>
    </row>
    <row r="580" spans="1:1">
      <c r="A580" s="125"/>
    </row>
    <row r="581" spans="1:1">
      <c r="A581" s="125"/>
    </row>
    <row r="582" spans="1:1">
      <c r="A582" s="125"/>
    </row>
    <row r="583" spans="1:1">
      <c r="A583" s="125"/>
    </row>
    <row r="584" spans="1:1">
      <c r="A584" s="125"/>
    </row>
    <row r="585" spans="1:1">
      <c r="A585" s="125"/>
    </row>
    <row r="586" spans="1:1">
      <c r="A586" s="125"/>
    </row>
    <row r="587" spans="1:1">
      <c r="A587" s="125"/>
    </row>
    <row r="588" spans="1:1">
      <c r="A588" s="125"/>
    </row>
    <row r="589" spans="1:1">
      <c r="A589" s="125"/>
    </row>
    <row r="590" spans="1:1">
      <c r="A590" s="125"/>
    </row>
    <row r="591" spans="1:1">
      <c r="A591" s="125"/>
    </row>
    <row r="592" spans="1:1">
      <c r="A592" s="125"/>
    </row>
    <row r="593" spans="1:1">
      <c r="A593" s="125"/>
    </row>
    <row r="594" spans="1:1">
      <c r="A594" s="125"/>
    </row>
    <row r="595" spans="1:1">
      <c r="A595" s="125"/>
    </row>
    <row r="596" spans="1:1">
      <c r="A596" s="125"/>
    </row>
    <row r="597" spans="1:1">
      <c r="A597" s="125"/>
    </row>
    <row r="598" spans="1:1">
      <c r="A598" s="125"/>
    </row>
    <row r="599" spans="1:1">
      <c r="A599" s="125"/>
    </row>
    <row r="600" spans="1:1">
      <c r="A600" s="125"/>
    </row>
    <row r="601" spans="1:1">
      <c r="A601" s="125"/>
    </row>
    <row r="602" spans="1:1">
      <c r="A602" s="125"/>
    </row>
    <row r="603" spans="1:1">
      <c r="A603" s="125"/>
    </row>
    <row r="604" spans="1:1">
      <c r="A604" s="125"/>
    </row>
    <row r="605" spans="1:1">
      <c r="A605" s="125"/>
    </row>
    <row r="606" spans="1:1">
      <c r="A606" s="125"/>
    </row>
    <row r="607" spans="1:1">
      <c r="A607" s="125"/>
    </row>
    <row r="608" spans="1:1">
      <c r="A608" s="125"/>
    </row>
    <row r="609" spans="1:1">
      <c r="A609" s="125"/>
    </row>
    <row r="610" spans="1:1">
      <c r="A610" s="125"/>
    </row>
    <row r="611" spans="1:1">
      <c r="A611" s="125"/>
    </row>
    <row r="612" spans="1:1">
      <c r="A612" s="125"/>
    </row>
    <row r="613" spans="1:1">
      <c r="A613" s="125"/>
    </row>
    <row r="614" spans="1:1">
      <c r="A614" s="125"/>
    </row>
    <row r="615" spans="1:1">
      <c r="A615" s="125"/>
    </row>
    <row r="616" spans="1:1">
      <c r="A616" s="125"/>
    </row>
    <row r="617" spans="1:1">
      <c r="A617" s="125"/>
    </row>
    <row r="618" spans="1:1">
      <c r="A618" s="125"/>
    </row>
    <row r="619" spans="1:1">
      <c r="A619" s="125"/>
    </row>
    <row r="620" spans="1:1">
      <c r="A620" s="125"/>
    </row>
    <row r="621" spans="1:1">
      <c r="A621" s="125"/>
    </row>
    <row r="622" spans="1:1">
      <c r="A622" s="125"/>
    </row>
    <row r="623" spans="1:1">
      <c r="A623" s="125"/>
    </row>
    <row r="624" spans="1:1">
      <c r="A624" s="125"/>
    </row>
    <row r="625" spans="1:1">
      <c r="A625" s="125"/>
    </row>
    <row r="626" spans="1:1">
      <c r="A626" s="125"/>
    </row>
    <row r="627" spans="1:1">
      <c r="A627" s="125"/>
    </row>
    <row r="628" spans="1:1">
      <c r="A628" s="125"/>
    </row>
    <row r="629" spans="1:1">
      <c r="A629" s="125"/>
    </row>
    <row r="630" spans="1:1">
      <c r="A630" s="125"/>
    </row>
    <row r="631" spans="1:1">
      <c r="A631" s="125"/>
    </row>
    <row r="632" spans="1:1">
      <c r="A632" s="125"/>
    </row>
  </sheetData>
  <mergeCells count="69">
    <mergeCell ref="B28:G28"/>
    <mergeCell ref="A1:G1"/>
    <mergeCell ref="A2:G2"/>
    <mergeCell ref="A4:A5"/>
    <mergeCell ref="B4:B5"/>
    <mergeCell ref="C4:D4"/>
    <mergeCell ref="E4:E5"/>
    <mergeCell ref="F4:F5"/>
    <mergeCell ref="G4:G5"/>
    <mergeCell ref="B7:G7"/>
    <mergeCell ref="B8:G8"/>
    <mergeCell ref="B13:G13"/>
    <mergeCell ref="B18:G18"/>
    <mergeCell ref="B23:G23"/>
    <mergeCell ref="B86:G86"/>
    <mergeCell ref="B31:G31"/>
    <mergeCell ref="B36:G36"/>
    <mergeCell ref="B41:G41"/>
    <mergeCell ref="B46:G46"/>
    <mergeCell ref="B53:G53"/>
    <mergeCell ref="B57:G57"/>
    <mergeCell ref="B62:G62"/>
    <mergeCell ref="B67:G67"/>
    <mergeCell ref="B73:G73"/>
    <mergeCell ref="B78:G78"/>
    <mergeCell ref="B81:G81"/>
    <mergeCell ref="B125:G125"/>
    <mergeCell ref="B87:G87"/>
    <mergeCell ref="B92:G92"/>
    <mergeCell ref="B95:G95"/>
    <mergeCell ref="B98:G98"/>
    <mergeCell ref="B101:G101"/>
    <mergeCell ref="B107:G107"/>
    <mergeCell ref="B112:G112"/>
    <mergeCell ref="B115:G115"/>
    <mergeCell ref="B116:G116"/>
    <mergeCell ref="B119:G119"/>
    <mergeCell ref="B122:G122"/>
    <mergeCell ref="B167:G167"/>
    <mergeCell ref="B126:G126"/>
    <mergeCell ref="B131:G131"/>
    <mergeCell ref="B134:G134"/>
    <mergeCell ref="B137:G137"/>
    <mergeCell ref="B142:G142"/>
    <mergeCell ref="B145:G145"/>
    <mergeCell ref="B150:G150"/>
    <mergeCell ref="B151:G151"/>
    <mergeCell ref="B156:G156"/>
    <mergeCell ref="B161:G161"/>
    <mergeCell ref="B166:G166"/>
    <mergeCell ref="B222:G222"/>
    <mergeCell ref="B176:G176"/>
    <mergeCell ref="B181:G181"/>
    <mergeCell ref="B186:G186"/>
    <mergeCell ref="B187:G187"/>
    <mergeCell ref="B188:G188"/>
    <mergeCell ref="B194:G194"/>
    <mergeCell ref="B197:G197"/>
    <mergeCell ref="B201:G201"/>
    <mergeCell ref="B202:G202"/>
    <mergeCell ref="B209:G209"/>
    <mergeCell ref="B215:G215"/>
    <mergeCell ref="B247:G247"/>
    <mergeCell ref="B225:G225"/>
    <mergeCell ref="B228:G228"/>
    <mergeCell ref="B233:G233"/>
    <mergeCell ref="B234:G234"/>
    <mergeCell ref="B239:G239"/>
    <mergeCell ref="B242:G242"/>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T13"/>
  <sheetViews>
    <sheetView workbookViewId="0">
      <selection activeCell="D18" sqref="D18"/>
    </sheetView>
  </sheetViews>
  <sheetFormatPr defaultRowHeight="21"/>
  <cols>
    <col min="1" max="1" width="9.140625" style="80"/>
    <col min="2" max="16384" width="9.140625" style="81"/>
  </cols>
  <sheetData>
    <row r="1" spans="1:20" s="73" customFormat="1" ht="26.25">
      <c r="A1" s="981" t="s">
        <v>944</v>
      </c>
      <c r="B1" s="981"/>
      <c r="C1" s="981"/>
      <c r="D1" s="981"/>
      <c r="E1" s="981"/>
      <c r="F1" s="981"/>
      <c r="G1" s="981"/>
      <c r="H1" s="981"/>
      <c r="I1" s="981"/>
      <c r="J1" s="981"/>
      <c r="K1" s="981"/>
      <c r="L1" s="981"/>
      <c r="M1" s="981"/>
      <c r="N1" s="981"/>
      <c r="O1" s="981"/>
      <c r="P1" s="981"/>
      <c r="Q1" s="981"/>
      <c r="R1" s="981"/>
      <c r="S1" s="981"/>
      <c r="T1" s="72"/>
    </row>
    <row r="2" spans="1:20" s="77" customFormat="1" ht="45" customHeight="1">
      <c r="A2" s="74"/>
      <c r="B2" s="75"/>
      <c r="C2" s="76"/>
      <c r="D2" s="76"/>
      <c r="E2" s="76"/>
      <c r="F2" s="76"/>
      <c r="G2" s="76"/>
      <c r="H2" s="76"/>
      <c r="I2" s="76"/>
      <c r="J2" s="76"/>
      <c r="K2" s="76"/>
      <c r="L2" s="76"/>
      <c r="M2" s="76"/>
      <c r="N2" s="76"/>
      <c r="O2" s="76"/>
      <c r="P2" s="76"/>
      <c r="Q2" s="76"/>
      <c r="R2" s="76"/>
      <c r="S2" s="76" t="s">
        <v>16</v>
      </c>
      <c r="T2" s="76"/>
    </row>
    <row r="3" spans="1:20" s="73" customFormat="1" ht="26.25">
      <c r="A3" s="71" t="s">
        <v>17</v>
      </c>
      <c r="B3" s="982" t="s">
        <v>18</v>
      </c>
      <c r="C3" s="982"/>
      <c r="D3" s="982"/>
      <c r="E3" s="982"/>
      <c r="F3" s="982"/>
      <c r="G3" s="982"/>
      <c r="H3" s="982"/>
      <c r="I3" s="982"/>
      <c r="J3" s="982"/>
      <c r="K3" s="982"/>
      <c r="L3" s="982"/>
      <c r="M3" s="982"/>
      <c r="N3" s="982"/>
      <c r="O3" s="982"/>
      <c r="P3" s="982"/>
      <c r="Q3" s="982"/>
      <c r="R3" s="982"/>
      <c r="S3" s="982"/>
      <c r="T3" s="982"/>
    </row>
    <row r="4" spans="1:20" s="77" customFormat="1" ht="20.25">
      <c r="A4" s="74"/>
      <c r="B4" s="75" t="s">
        <v>19</v>
      </c>
      <c r="C4" s="76"/>
      <c r="D4" s="76"/>
      <c r="E4" s="76"/>
      <c r="F4" s="76"/>
      <c r="G4" s="76"/>
      <c r="H4" s="76"/>
      <c r="I4" s="76"/>
      <c r="J4" s="76"/>
      <c r="K4" s="76"/>
      <c r="L4" s="76"/>
      <c r="M4" s="76"/>
      <c r="N4" s="76"/>
      <c r="O4" s="76"/>
      <c r="P4" s="76"/>
      <c r="Q4" s="76"/>
      <c r="R4" s="76"/>
      <c r="S4" s="76"/>
      <c r="T4" s="76"/>
    </row>
    <row r="5" spans="1:20" s="77" customFormat="1" ht="65.25" customHeight="1">
      <c r="A5" s="74"/>
      <c r="B5" s="75"/>
      <c r="C5" s="76"/>
      <c r="D5" s="76"/>
      <c r="E5" s="76"/>
      <c r="F5" s="76"/>
      <c r="G5" s="76"/>
      <c r="H5" s="76"/>
      <c r="I5" s="76"/>
      <c r="J5" s="76"/>
      <c r="K5" s="76"/>
      <c r="L5" s="76"/>
      <c r="M5" s="76"/>
      <c r="N5" s="76"/>
      <c r="O5" s="76"/>
      <c r="P5" s="76"/>
      <c r="Q5" s="76"/>
      <c r="R5" s="76"/>
      <c r="S5" s="76"/>
      <c r="T5" s="76"/>
    </row>
    <row r="6" spans="1:20" s="73" customFormat="1" ht="26.25">
      <c r="A6" s="71" t="s">
        <v>184</v>
      </c>
      <c r="B6" s="78" t="s">
        <v>20</v>
      </c>
      <c r="C6" s="72"/>
      <c r="D6" s="72"/>
      <c r="E6" s="72"/>
      <c r="F6" s="72"/>
      <c r="G6" s="72"/>
      <c r="H6" s="72"/>
      <c r="I6" s="72"/>
      <c r="J6" s="72"/>
      <c r="K6" s="72"/>
      <c r="L6" s="72"/>
      <c r="M6" s="72"/>
      <c r="N6" s="72"/>
      <c r="O6" s="72"/>
      <c r="P6" s="72"/>
      <c r="Q6" s="72"/>
      <c r="R6" s="79"/>
      <c r="S6" s="79"/>
      <c r="T6" s="79"/>
    </row>
    <row r="7" spans="1:20" s="77" customFormat="1" ht="20.25">
      <c r="A7" s="74"/>
      <c r="B7" s="75" t="s">
        <v>21</v>
      </c>
      <c r="C7" s="76"/>
      <c r="D7" s="76"/>
      <c r="E7" s="76"/>
      <c r="F7" s="76"/>
      <c r="G7" s="76"/>
      <c r="H7" s="76"/>
      <c r="I7" s="76"/>
      <c r="J7" s="76"/>
      <c r="K7" s="76"/>
      <c r="L7" s="76"/>
      <c r="M7" s="76"/>
      <c r="N7" s="76"/>
      <c r="O7" s="76"/>
      <c r="P7" s="76"/>
      <c r="Q7" s="76"/>
      <c r="R7" s="76"/>
      <c r="S7" s="76"/>
      <c r="T7" s="76"/>
    </row>
    <row r="8" spans="1:20" s="77" customFormat="1" ht="58.5" customHeight="1">
      <c r="A8" s="74"/>
      <c r="B8" s="75"/>
      <c r="C8" s="76"/>
      <c r="D8" s="76"/>
      <c r="E8" s="76"/>
      <c r="F8" s="76"/>
      <c r="G8" s="76"/>
      <c r="H8" s="76"/>
      <c r="I8" s="76"/>
      <c r="J8" s="76"/>
      <c r="K8" s="76"/>
      <c r="L8" s="76"/>
      <c r="M8" s="76"/>
      <c r="N8" s="76"/>
      <c r="O8" s="76"/>
      <c r="P8" s="76"/>
      <c r="Q8" s="76"/>
      <c r="R8" s="76"/>
      <c r="S8" s="76"/>
      <c r="T8" s="76"/>
    </row>
    <row r="9" spans="1:20" s="73" customFormat="1" ht="55.5" customHeight="1">
      <c r="A9" s="71" t="s">
        <v>185</v>
      </c>
      <c r="B9" s="982" t="s">
        <v>25</v>
      </c>
      <c r="C9" s="982"/>
      <c r="D9" s="982"/>
      <c r="E9" s="982"/>
      <c r="F9" s="982"/>
      <c r="G9" s="982"/>
      <c r="H9" s="982"/>
      <c r="I9" s="982"/>
      <c r="J9" s="982"/>
      <c r="K9" s="982"/>
      <c r="L9" s="982"/>
      <c r="M9" s="982"/>
      <c r="N9" s="982"/>
      <c r="O9" s="982"/>
      <c r="P9" s="982"/>
      <c r="Q9" s="982"/>
      <c r="R9" s="982"/>
      <c r="S9" s="982"/>
      <c r="T9" s="982"/>
    </row>
    <row r="10" spans="1:20" s="77" customFormat="1" ht="20.25">
      <c r="A10" s="74"/>
      <c r="B10" s="75" t="s">
        <v>22</v>
      </c>
      <c r="C10" s="76"/>
      <c r="D10" s="76"/>
      <c r="E10" s="76"/>
      <c r="F10" s="76"/>
      <c r="G10" s="76"/>
      <c r="H10" s="76"/>
      <c r="I10" s="76"/>
      <c r="J10" s="76"/>
      <c r="K10" s="76"/>
      <c r="L10" s="76"/>
      <c r="M10" s="76"/>
      <c r="N10" s="76"/>
      <c r="O10" s="76"/>
      <c r="P10" s="76"/>
      <c r="Q10" s="76"/>
      <c r="R10" s="76"/>
      <c r="S10" s="76"/>
      <c r="T10" s="76"/>
    </row>
    <row r="11" spans="1:20" s="77" customFormat="1" ht="20.25">
      <c r="A11" s="74"/>
      <c r="B11" s="75"/>
      <c r="C11" s="76"/>
      <c r="D11" s="76"/>
      <c r="E11" s="76"/>
      <c r="F11" s="76"/>
      <c r="G11" s="76"/>
      <c r="H11" s="76"/>
      <c r="I11" s="76"/>
      <c r="J11" s="76"/>
      <c r="K11" s="76"/>
      <c r="L11" s="76"/>
      <c r="M11" s="76"/>
      <c r="N11" s="76"/>
      <c r="O11" s="76"/>
      <c r="P11" s="76"/>
      <c r="Q11" s="76"/>
      <c r="R11" s="76"/>
      <c r="S11" s="76"/>
      <c r="T11" s="76"/>
    </row>
    <row r="13" spans="1:20" s="73" customFormat="1" ht="26.25">
      <c r="A13" s="71" t="s">
        <v>23</v>
      </c>
      <c r="B13" s="982" t="s">
        <v>24</v>
      </c>
      <c r="C13" s="982"/>
      <c r="D13" s="982"/>
      <c r="E13" s="982"/>
      <c r="F13" s="982"/>
      <c r="G13" s="982"/>
      <c r="H13" s="982"/>
      <c r="I13" s="982"/>
      <c r="J13" s="982"/>
      <c r="K13" s="982"/>
      <c r="L13" s="982"/>
      <c r="M13" s="982"/>
      <c r="N13" s="982"/>
      <c r="O13" s="982"/>
      <c r="P13" s="982"/>
      <c r="Q13" s="982"/>
      <c r="R13" s="982"/>
      <c r="S13" s="982"/>
      <c r="T13" s="982"/>
    </row>
  </sheetData>
  <mergeCells count="4">
    <mergeCell ref="A1:S1"/>
    <mergeCell ref="B3:T3"/>
    <mergeCell ref="B9:T9"/>
    <mergeCell ref="B13:T13"/>
  </mergeCells>
  <pageMargins left="0.23622047244094491" right="0.23622047244094491" top="0.74803149606299213" bottom="0.74803149606299213" header="0.31496062992125984" footer="0.31496062992125984"/>
  <pageSetup paperSize="9" scale="65" orientation="landscape" r:id="rId1"/>
</worksheet>
</file>

<file path=xl/worksheets/sheet8.xml><?xml version="1.0" encoding="utf-8"?>
<worksheet xmlns="http://schemas.openxmlformats.org/spreadsheetml/2006/main" xmlns:r="http://schemas.openxmlformats.org/officeDocument/2006/relationships">
  <dimension ref="A1:BQ474"/>
  <sheetViews>
    <sheetView zoomScaleNormal="100" workbookViewId="0">
      <pane ySplit="10" topLeftCell="A61" activePane="bottomLeft" state="frozen"/>
      <selection pane="bottomLeft" activeCell="I22" sqref="I22"/>
    </sheetView>
  </sheetViews>
  <sheetFormatPr defaultRowHeight="15.75"/>
  <cols>
    <col min="1" max="1" width="6.42578125" style="460" customWidth="1"/>
    <col min="2" max="2" width="36.7109375" style="403" customWidth="1"/>
    <col min="3" max="3" width="26.140625" style="403" customWidth="1"/>
    <col min="4" max="4" width="14" style="459" customWidth="1"/>
    <col min="5" max="5" width="14.140625" style="112" customWidth="1"/>
    <col min="6" max="6" width="13" style="112" customWidth="1"/>
    <col min="7" max="7" width="13.5703125" style="112" customWidth="1"/>
    <col min="8" max="8" width="14" style="112" customWidth="1"/>
    <col min="9" max="9" width="15.42578125" style="112" customWidth="1"/>
    <col min="10" max="10" width="13" style="112" customWidth="1"/>
    <col min="11" max="11" width="11.85546875" style="112" customWidth="1"/>
    <col min="12" max="12" width="13" style="112" customWidth="1"/>
    <col min="13" max="13" width="11.140625" style="402" customWidth="1"/>
    <col min="14" max="14" width="14.42578125" style="402" bestFit="1" customWidth="1"/>
    <col min="15" max="69" width="9.140625" style="402"/>
    <col min="70" max="16384" width="9.140625" style="403"/>
  </cols>
  <sheetData>
    <row r="1" spans="1:69">
      <c r="J1" s="341" t="s">
        <v>614</v>
      </c>
    </row>
    <row r="2" spans="1:69">
      <c r="J2" s="341" t="s">
        <v>610</v>
      </c>
    </row>
    <row r="3" spans="1:69">
      <c r="J3" s="341" t="s">
        <v>611</v>
      </c>
    </row>
    <row r="4" spans="1:69">
      <c r="J4" s="341" t="s">
        <v>612</v>
      </c>
    </row>
    <row r="6" spans="1:69" ht="15.75" customHeight="1">
      <c r="A6" s="1037" t="s">
        <v>713</v>
      </c>
      <c r="B6" s="1037"/>
      <c r="C6" s="1037"/>
      <c r="D6" s="1037"/>
      <c r="E6" s="1037"/>
      <c r="F6" s="1037"/>
      <c r="G6" s="1037"/>
      <c r="H6" s="1037"/>
      <c r="I6" s="1037"/>
      <c r="J6" s="1037"/>
      <c r="K6" s="1037"/>
      <c r="L6" s="1037"/>
    </row>
    <row r="8" spans="1:69" s="463" customFormat="1" ht="25.5" customHeight="1">
      <c r="A8" s="1038" t="s">
        <v>26</v>
      </c>
      <c r="B8" s="1039" t="s">
        <v>37</v>
      </c>
      <c r="C8" s="1039" t="s">
        <v>38</v>
      </c>
      <c r="D8" s="1039" t="s">
        <v>39</v>
      </c>
      <c r="E8" s="1040" t="s">
        <v>45</v>
      </c>
      <c r="F8" s="1040"/>
      <c r="G8" s="1040"/>
      <c r="H8" s="1040"/>
      <c r="I8" s="1040" t="s">
        <v>40</v>
      </c>
      <c r="J8" s="1040"/>
      <c r="K8" s="1040"/>
      <c r="L8" s="1040"/>
      <c r="M8" s="462"/>
      <c r="N8" s="462"/>
      <c r="O8" s="462"/>
      <c r="P8" s="462"/>
      <c r="Q8" s="462"/>
      <c r="R8" s="462"/>
      <c r="S8" s="462"/>
      <c r="T8" s="462"/>
      <c r="U8" s="462"/>
      <c r="V8" s="462"/>
      <c r="W8" s="462"/>
      <c r="X8" s="462"/>
      <c r="Y8" s="462"/>
      <c r="Z8" s="462"/>
      <c r="AA8" s="462"/>
      <c r="AB8" s="462"/>
      <c r="AC8" s="462"/>
      <c r="AD8" s="462"/>
      <c r="AE8" s="462"/>
      <c r="AF8" s="462"/>
      <c r="AG8" s="462"/>
      <c r="AH8" s="462"/>
      <c r="AI8" s="462"/>
      <c r="AJ8" s="462"/>
      <c r="AK8" s="462"/>
      <c r="AL8" s="462"/>
      <c r="AM8" s="462"/>
      <c r="AN8" s="462"/>
      <c r="AO8" s="462"/>
      <c r="AP8" s="462"/>
      <c r="AQ8" s="462"/>
      <c r="AR8" s="462"/>
      <c r="AS8" s="462"/>
      <c r="AT8" s="462"/>
      <c r="AU8" s="462"/>
      <c r="AV8" s="462"/>
      <c r="AW8" s="462"/>
      <c r="AX8" s="462"/>
      <c r="AY8" s="462"/>
      <c r="AZ8" s="462"/>
      <c r="BA8" s="462"/>
      <c r="BB8" s="462"/>
      <c r="BC8" s="462"/>
      <c r="BD8" s="462"/>
      <c r="BE8" s="462"/>
      <c r="BF8" s="462"/>
      <c r="BG8" s="462"/>
      <c r="BH8" s="462"/>
      <c r="BI8" s="462"/>
      <c r="BJ8" s="462"/>
      <c r="BK8" s="462"/>
      <c r="BL8" s="462"/>
      <c r="BM8" s="462"/>
      <c r="BN8" s="462"/>
      <c r="BO8" s="462"/>
      <c r="BP8" s="462"/>
      <c r="BQ8" s="462"/>
    </row>
    <row r="9" spans="1:69" s="463" customFormat="1" ht="15.75" customHeight="1">
      <c r="A9" s="1038"/>
      <c r="B9" s="1039"/>
      <c r="C9" s="1039"/>
      <c r="D9" s="1039"/>
      <c r="E9" s="994" t="s">
        <v>41</v>
      </c>
      <c r="F9" s="994" t="s">
        <v>42</v>
      </c>
      <c r="G9" s="994"/>
      <c r="H9" s="994"/>
      <c r="I9" s="994" t="s">
        <v>41</v>
      </c>
      <c r="J9" s="994" t="s">
        <v>42</v>
      </c>
      <c r="K9" s="994"/>
      <c r="L9" s="1041"/>
      <c r="M9" s="462"/>
      <c r="N9" s="462"/>
      <c r="O9" s="462"/>
      <c r="P9" s="462"/>
      <c r="Q9" s="462"/>
      <c r="R9" s="462"/>
      <c r="S9" s="462"/>
      <c r="T9" s="462"/>
      <c r="U9" s="462"/>
      <c r="V9" s="462"/>
      <c r="W9" s="462"/>
      <c r="X9" s="462"/>
      <c r="Y9" s="462"/>
      <c r="Z9" s="462"/>
      <c r="AA9" s="462"/>
      <c r="AB9" s="462"/>
      <c r="AC9" s="462"/>
      <c r="AD9" s="462"/>
      <c r="AE9" s="462"/>
      <c r="AF9" s="462"/>
      <c r="AG9" s="462"/>
      <c r="AH9" s="462"/>
      <c r="AI9" s="462"/>
      <c r="AJ9" s="462"/>
      <c r="AK9" s="462"/>
      <c r="AL9" s="462"/>
      <c r="AM9" s="462"/>
      <c r="AN9" s="462"/>
      <c r="AO9" s="462"/>
      <c r="AP9" s="462"/>
      <c r="AQ9" s="462"/>
      <c r="AR9" s="462"/>
      <c r="AS9" s="462"/>
      <c r="AT9" s="462"/>
      <c r="AU9" s="462"/>
      <c r="AV9" s="462"/>
      <c r="AW9" s="462"/>
      <c r="AX9" s="462"/>
      <c r="AY9" s="462"/>
      <c r="AZ9" s="462"/>
      <c r="BA9" s="462"/>
      <c r="BB9" s="462"/>
      <c r="BC9" s="462"/>
      <c r="BD9" s="462"/>
      <c r="BE9" s="462"/>
      <c r="BF9" s="462"/>
      <c r="BG9" s="462"/>
      <c r="BH9" s="462"/>
      <c r="BI9" s="462"/>
      <c r="BJ9" s="462"/>
      <c r="BK9" s="462"/>
      <c r="BL9" s="462"/>
      <c r="BM9" s="462"/>
      <c r="BN9" s="462"/>
      <c r="BO9" s="462"/>
      <c r="BP9" s="462"/>
      <c r="BQ9" s="462"/>
    </row>
    <row r="10" spans="1:69" s="463" customFormat="1" ht="33" customHeight="1">
      <c r="A10" s="1038"/>
      <c r="B10" s="1039"/>
      <c r="C10" s="1039"/>
      <c r="D10" s="1039"/>
      <c r="E10" s="994"/>
      <c r="F10" s="108" t="s">
        <v>44</v>
      </c>
      <c r="G10" s="108" t="s">
        <v>43</v>
      </c>
      <c r="H10" s="108" t="s">
        <v>27</v>
      </c>
      <c r="I10" s="994"/>
      <c r="J10" s="108" t="s">
        <v>44</v>
      </c>
      <c r="K10" s="315" t="s">
        <v>43</v>
      </c>
      <c r="L10" s="108" t="s">
        <v>27</v>
      </c>
      <c r="M10" s="462"/>
      <c r="N10" s="462"/>
      <c r="O10" s="462"/>
      <c r="P10" s="462"/>
      <c r="Q10" s="462"/>
      <c r="R10" s="462"/>
      <c r="S10" s="462"/>
      <c r="T10" s="462"/>
      <c r="U10" s="462"/>
      <c r="V10" s="462"/>
      <c r="W10" s="462"/>
      <c r="X10" s="462"/>
      <c r="Y10" s="462"/>
      <c r="Z10" s="462"/>
      <c r="AA10" s="462"/>
      <c r="AB10" s="462"/>
      <c r="AC10" s="462"/>
      <c r="AD10" s="462"/>
      <c r="AE10" s="462"/>
      <c r="AF10" s="462"/>
      <c r="AG10" s="462"/>
      <c r="AH10" s="462"/>
      <c r="AI10" s="462"/>
      <c r="AJ10" s="462"/>
      <c r="AK10" s="462"/>
      <c r="AL10" s="462"/>
      <c r="AM10" s="462"/>
      <c r="AN10" s="462"/>
      <c r="AO10" s="462"/>
      <c r="AP10" s="462"/>
      <c r="AQ10" s="462"/>
      <c r="AR10" s="462"/>
      <c r="AS10" s="462"/>
      <c r="AT10" s="462"/>
      <c r="AU10" s="462"/>
      <c r="AV10" s="462"/>
      <c r="AW10" s="462"/>
      <c r="AX10" s="462"/>
      <c r="AY10" s="462"/>
      <c r="AZ10" s="462"/>
      <c r="BA10" s="462"/>
      <c r="BB10" s="462"/>
      <c r="BC10" s="462"/>
      <c r="BD10" s="462"/>
      <c r="BE10" s="462"/>
      <c r="BF10" s="462"/>
      <c r="BG10" s="462"/>
      <c r="BH10" s="462"/>
      <c r="BI10" s="462"/>
      <c r="BJ10" s="462"/>
      <c r="BK10" s="462"/>
      <c r="BL10" s="462"/>
      <c r="BM10" s="462"/>
      <c r="BN10" s="462"/>
      <c r="BO10" s="462"/>
      <c r="BP10" s="462"/>
      <c r="BQ10" s="462"/>
    </row>
    <row r="11" spans="1:69" s="463" customFormat="1">
      <c r="A11" s="461" t="s">
        <v>28</v>
      </c>
      <c r="B11" s="318">
        <v>2</v>
      </c>
      <c r="C11" s="461" t="s">
        <v>103</v>
      </c>
      <c r="D11" s="318">
        <v>4</v>
      </c>
      <c r="E11" s="108" t="s">
        <v>155</v>
      </c>
      <c r="F11" s="295">
        <v>6</v>
      </c>
      <c r="G11" s="434">
        <v>7</v>
      </c>
      <c r="H11" s="295">
        <v>8</v>
      </c>
      <c r="I11" s="434">
        <v>9</v>
      </c>
      <c r="J11" s="295">
        <v>10</v>
      </c>
      <c r="K11" s="433">
        <v>11</v>
      </c>
      <c r="L11" s="295">
        <v>12</v>
      </c>
      <c r="M11" s="462"/>
      <c r="N11" s="462"/>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2"/>
      <c r="AL11" s="462"/>
      <c r="AM11" s="462"/>
      <c r="AN11" s="462"/>
      <c r="AO11" s="462"/>
      <c r="AP11" s="462"/>
      <c r="AQ11" s="462"/>
      <c r="AR11" s="462"/>
      <c r="AS11" s="462"/>
      <c r="AT11" s="462"/>
      <c r="AU11" s="462"/>
      <c r="AV11" s="462"/>
      <c r="AW11" s="462"/>
      <c r="AX11" s="462"/>
      <c r="AY11" s="462"/>
      <c r="AZ11" s="462"/>
      <c r="BA11" s="462"/>
      <c r="BB11" s="462"/>
      <c r="BC11" s="462"/>
      <c r="BD11" s="462"/>
      <c r="BE11" s="462"/>
      <c r="BF11" s="462"/>
      <c r="BG11" s="462"/>
      <c r="BH11" s="462"/>
      <c r="BI11" s="462"/>
      <c r="BJ11" s="462"/>
      <c r="BK11" s="462"/>
      <c r="BL11" s="462"/>
      <c r="BM11" s="462"/>
      <c r="BN11" s="462"/>
      <c r="BO11" s="462"/>
      <c r="BP11" s="462"/>
      <c r="BQ11" s="462"/>
    </row>
    <row r="12" spans="1:69" s="470" customFormat="1" ht="31.5">
      <c r="A12" s="464" t="s">
        <v>17</v>
      </c>
      <c r="B12" s="465" t="s">
        <v>48</v>
      </c>
      <c r="C12" s="466"/>
      <c r="D12" s="466"/>
      <c r="E12" s="435">
        <f>SUM(F12:H12)</f>
        <v>36348</v>
      </c>
      <c r="F12" s="467">
        <f>F13+F17+F18+F19+F20+F21+F22+F27+F31</f>
        <v>5286.74</v>
      </c>
      <c r="G12" s="467">
        <f>G13+G17+G18+G19+G20+G21+G22+G27+G31</f>
        <v>3467.48</v>
      </c>
      <c r="H12" s="467">
        <f>H13+H17+H18+H19+H20+H21+H22+H27+H31</f>
        <v>27593.780000000002</v>
      </c>
      <c r="I12" s="435">
        <f>SUM(J12:L12)</f>
        <v>8687.7090000000007</v>
      </c>
      <c r="J12" s="435">
        <f>J13+J17+J18+J19+J20+J20+J21+J22+J27+J31</f>
        <v>1633.5213200000001</v>
      </c>
      <c r="K12" s="435">
        <f>K13+K17+K18+K19+K20+K20+K21+K22+K27+K31</f>
        <v>428.4</v>
      </c>
      <c r="L12" s="435">
        <f>L13+L17+L18+L19+L20+L20+L21+L22+L27+L31</f>
        <v>6625.7876800000013</v>
      </c>
      <c r="M12" s="468"/>
      <c r="N12" s="469"/>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8"/>
      <c r="AY12" s="468"/>
      <c r="AZ12" s="468"/>
      <c r="BA12" s="468"/>
      <c r="BB12" s="468"/>
      <c r="BC12" s="468"/>
      <c r="BD12" s="468"/>
      <c r="BE12" s="468"/>
      <c r="BF12" s="468"/>
      <c r="BG12" s="468"/>
      <c r="BH12" s="468"/>
      <c r="BI12" s="468"/>
      <c r="BJ12" s="468"/>
      <c r="BK12" s="468"/>
      <c r="BL12" s="468"/>
      <c r="BM12" s="468"/>
      <c r="BN12" s="468"/>
      <c r="BO12" s="468"/>
      <c r="BP12" s="468"/>
      <c r="BQ12" s="468"/>
    </row>
    <row r="13" spans="1:69" s="475" customFormat="1" ht="96" customHeight="1">
      <c r="A13" s="471" t="s">
        <v>46</v>
      </c>
      <c r="B13" s="472" t="s">
        <v>542</v>
      </c>
      <c r="C13" s="473"/>
      <c r="D13" s="473"/>
      <c r="E13" s="437">
        <f t="shared" ref="E13:E80" si="0">SUM(F13:H13)</f>
        <v>23007.980000000003</v>
      </c>
      <c r="F13" s="436">
        <v>0</v>
      </c>
      <c r="G13" s="436">
        <v>0</v>
      </c>
      <c r="H13" s="436">
        <f>SUM(H14:H16)</f>
        <v>23007.980000000003</v>
      </c>
      <c r="I13" s="437">
        <f t="shared" ref="I13:I21" si="1">SUM(J13:L13)</f>
        <v>5319.0303500000009</v>
      </c>
      <c r="J13" s="437">
        <f>SUM(J14:J16)</f>
        <v>0</v>
      </c>
      <c r="K13" s="437">
        <f>SUM(K14:K16)</f>
        <v>0</v>
      </c>
      <c r="L13" s="437">
        <f>SUM(L14:L16)</f>
        <v>5319.0303500000009</v>
      </c>
      <c r="M13" s="474"/>
      <c r="N13" s="474"/>
      <c r="O13" s="474"/>
      <c r="P13" s="474"/>
      <c r="Q13" s="474"/>
      <c r="R13" s="474"/>
      <c r="S13" s="474"/>
      <c r="T13" s="474"/>
      <c r="U13" s="474"/>
      <c r="V13" s="474"/>
      <c r="W13" s="474"/>
      <c r="X13" s="474"/>
      <c r="Y13" s="474"/>
      <c r="Z13" s="474"/>
      <c r="AA13" s="474"/>
      <c r="AB13" s="474"/>
      <c r="AC13" s="474"/>
      <c r="AD13" s="474"/>
      <c r="AE13" s="474"/>
      <c r="AF13" s="474"/>
      <c r="AG13" s="474"/>
      <c r="AH13" s="474"/>
      <c r="AI13" s="474"/>
      <c r="AJ13" s="474"/>
      <c r="AK13" s="474"/>
      <c r="AL13" s="474"/>
      <c r="AM13" s="474"/>
      <c r="AN13" s="474"/>
      <c r="AO13" s="474"/>
      <c r="AP13" s="474"/>
      <c r="AQ13" s="474"/>
      <c r="AR13" s="474"/>
      <c r="AS13" s="474"/>
      <c r="AT13" s="474"/>
      <c r="AU13" s="474"/>
      <c r="AV13" s="474"/>
      <c r="AW13" s="474"/>
      <c r="AX13" s="474"/>
      <c r="AY13" s="474"/>
      <c r="AZ13" s="474"/>
      <c r="BA13" s="474"/>
      <c r="BB13" s="474"/>
      <c r="BC13" s="474"/>
      <c r="BD13" s="474"/>
      <c r="BE13" s="474"/>
      <c r="BF13" s="474"/>
      <c r="BG13" s="474"/>
      <c r="BH13" s="474"/>
      <c r="BI13" s="474"/>
      <c r="BJ13" s="474"/>
      <c r="BK13" s="474"/>
      <c r="BL13" s="474"/>
      <c r="BM13" s="474"/>
      <c r="BN13" s="474"/>
      <c r="BO13" s="474"/>
      <c r="BP13" s="474"/>
      <c r="BQ13" s="474"/>
    </row>
    <row r="14" spans="1:69" s="481" customFormat="1" ht="25.5">
      <c r="A14" s="476"/>
      <c r="B14" s="477" t="s">
        <v>616</v>
      </c>
      <c r="C14" s="478" t="s">
        <v>34</v>
      </c>
      <c r="D14" s="479" t="s">
        <v>543</v>
      </c>
      <c r="E14" s="93">
        <f t="shared" si="0"/>
        <v>12076.45</v>
      </c>
      <c r="F14" s="312">
        <v>0</v>
      </c>
      <c r="G14" s="312">
        <v>0</v>
      </c>
      <c r="H14" s="312">
        <v>12076.45</v>
      </c>
      <c r="I14" s="93">
        <f t="shared" si="1"/>
        <v>1620.15</v>
      </c>
      <c r="J14" s="93">
        <v>0</v>
      </c>
      <c r="K14" s="313">
        <v>0</v>
      </c>
      <c r="L14" s="93">
        <v>1620.15</v>
      </c>
      <c r="M14" s="480"/>
      <c r="N14" s="480"/>
      <c r="O14" s="480"/>
      <c r="P14" s="480"/>
      <c r="Q14" s="480"/>
      <c r="R14" s="480"/>
      <c r="S14" s="480"/>
      <c r="T14" s="480"/>
      <c r="U14" s="480"/>
      <c r="V14" s="480"/>
      <c r="W14" s="480"/>
      <c r="X14" s="480"/>
      <c r="Y14" s="480"/>
      <c r="Z14" s="480"/>
      <c r="AA14" s="480"/>
      <c r="AB14" s="480"/>
      <c r="AC14" s="480"/>
      <c r="AD14" s="480"/>
      <c r="AE14" s="480"/>
      <c r="AF14" s="480"/>
      <c r="AG14" s="480"/>
      <c r="AH14" s="480"/>
      <c r="AI14" s="480"/>
      <c r="AJ14" s="480"/>
      <c r="AK14" s="480"/>
      <c r="AL14" s="480"/>
      <c r="AM14" s="480"/>
      <c r="AN14" s="480"/>
      <c r="AO14" s="480"/>
      <c r="AP14" s="480"/>
      <c r="AQ14" s="480"/>
      <c r="AR14" s="480"/>
      <c r="AS14" s="480"/>
      <c r="AT14" s="480"/>
      <c r="AU14" s="480"/>
      <c r="AV14" s="480"/>
      <c r="AW14" s="480"/>
      <c r="AX14" s="480"/>
      <c r="AY14" s="480"/>
      <c r="AZ14" s="480"/>
      <c r="BA14" s="480"/>
      <c r="BB14" s="480"/>
      <c r="BC14" s="480"/>
      <c r="BD14" s="480"/>
      <c r="BE14" s="480"/>
      <c r="BF14" s="480"/>
      <c r="BG14" s="480"/>
      <c r="BH14" s="480"/>
      <c r="BI14" s="480"/>
      <c r="BJ14" s="480"/>
      <c r="BK14" s="480"/>
      <c r="BL14" s="480"/>
      <c r="BM14" s="480"/>
      <c r="BN14" s="480"/>
      <c r="BO14" s="480"/>
      <c r="BP14" s="480"/>
      <c r="BQ14" s="480"/>
    </row>
    <row r="15" spans="1:69" s="481" customFormat="1" ht="25.5">
      <c r="A15" s="476"/>
      <c r="B15" s="477" t="s">
        <v>617</v>
      </c>
      <c r="C15" s="478" t="s">
        <v>34</v>
      </c>
      <c r="D15" s="479" t="s">
        <v>543</v>
      </c>
      <c r="E15" s="93">
        <f t="shared" si="0"/>
        <v>6662.29</v>
      </c>
      <c r="F15" s="312">
        <v>0</v>
      </c>
      <c r="G15" s="312">
        <v>0</v>
      </c>
      <c r="H15" s="312">
        <v>6662.29</v>
      </c>
      <c r="I15" s="93">
        <f t="shared" si="1"/>
        <v>3117.7003500000001</v>
      </c>
      <c r="J15" s="93">
        <v>0</v>
      </c>
      <c r="K15" s="313">
        <v>0</v>
      </c>
      <c r="L15" s="93">
        <v>3117.7003500000001</v>
      </c>
      <c r="M15" s="480"/>
      <c r="N15" s="480"/>
      <c r="O15" s="480"/>
      <c r="P15" s="480"/>
      <c r="Q15" s="480"/>
      <c r="R15" s="480"/>
      <c r="S15" s="480"/>
      <c r="T15" s="480"/>
      <c r="U15" s="480"/>
      <c r="V15" s="480"/>
      <c r="W15" s="480"/>
      <c r="X15" s="480"/>
      <c r="Y15" s="480"/>
      <c r="Z15" s="480"/>
      <c r="AA15" s="480"/>
      <c r="AB15" s="480"/>
      <c r="AC15" s="480"/>
      <c r="AD15" s="480"/>
      <c r="AE15" s="480"/>
      <c r="AF15" s="480"/>
      <c r="AG15" s="480"/>
      <c r="AH15" s="480"/>
      <c r="AI15" s="480"/>
      <c r="AJ15" s="480"/>
      <c r="AK15" s="480"/>
      <c r="AL15" s="480"/>
      <c r="AM15" s="480"/>
      <c r="AN15" s="480"/>
      <c r="AO15" s="480"/>
      <c r="AP15" s="480"/>
      <c r="AQ15" s="480"/>
      <c r="AR15" s="480"/>
      <c r="AS15" s="480"/>
      <c r="AT15" s="480"/>
      <c r="AU15" s="480"/>
      <c r="AV15" s="480"/>
      <c r="AW15" s="480"/>
      <c r="AX15" s="480"/>
      <c r="AY15" s="480"/>
      <c r="AZ15" s="480"/>
      <c r="BA15" s="480"/>
      <c r="BB15" s="480"/>
      <c r="BC15" s="480"/>
      <c r="BD15" s="480"/>
      <c r="BE15" s="480"/>
      <c r="BF15" s="480"/>
      <c r="BG15" s="480"/>
      <c r="BH15" s="480"/>
      <c r="BI15" s="480"/>
      <c r="BJ15" s="480"/>
      <c r="BK15" s="480"/>
      <c r="BL15" s="480"/>
      <c r="BM15" s="480"/>
      <c r="BN15" s="480"/>
      <c r="BO15" s="480"/>
      <c r="BP15" s="480"/>
      <c r="BQ15" s="480"/>
    </row>
    <row r="16" spans="1:69" s="481" customFormat="1" ht="25.5">
      <c r="A16" s="476"/>
      <c r="B16" s="482" t="s">
        <v>618</v>
      </c>
      <c r="C16" s="478" t="s">
        <v>34</v>
      </c>
      <c r="D16" s="479" t="s">
        <v>543</v>
      </c>
      <c r="E16" s="93">
        <f t="shared" si="0"/>
        <v>4269.24</v>
      </c>
      <c r="F16" s="312">
        <v>0</v>
      </c>
      <c r="G16" s="312">
        <v>0</v>
      </c>
      <c r="H16" s="312">
        <v>4269.24</v>
      </c>
      <c r="I16" s="93">
        <f t="shared" si="1"/>
        <v>581.17999999999995</v>
      </c>
      <c r="J16" s="93">
        <v>0</v>
      </c>
      <c r="K16" s="313">
        <v>0</v>
      </c>
      <c r="L16" s="93">
        <v>581.17999999999995</v>
      </c>
      <c r="M16" s="480"/>
      <c r="N16" s="480"/>
      <c r="O16" s="480"/>
      <c r="P16" s="480"/>
      <c r="Q16" s="480"/>
      <c r="R16" s="480"/>
      <c r="S16" s="480"/>
      <c r="T16" s="480"/>
      <c r="U16" s="480"/>
      <c r="V16" s="480"/>
      <c r="W16" s="480"/>
      <c r="X16" s="480"/>
      <c r="Y16" s="480"/>
      <c r="Z16" s="480"/>
      <c r="AA16" s="480"/>
      <c r="AB16" s="480"/>
      <c r="AC16" s="480"/>
      <c r="AD16" s="480"/>
      <c r="AE16" s="480"/>
      <c r="AF16" s="480"/>
      <c r="AG16" s="480"/>
      <c r="AH16" s="480"/>
      <c r="AI16" s="480"/>
      <c r="AJ16" s="480"/>
      <c r="AK16" s="480"/>
      <c r="AL16" s="480"/>
      <c r="AM16" s="480"/>
      <c r="AN16" s="480"/>
      <c r="AO16" s="480"/>
      <c r="AP16" s="480"/>
      <c r="AQ16" s="480"/>
      <c r="AR16" s="480"/>
      <c r="AS16" s="480"/>
      <c r="AT16" s="480"/>
      <c r="AU16" s="480"/>
      <c r="AV16" s="480"/>
      <c r="AW16" s="480"/>
      <c r="AX16" s="480"/>
      <c r="AY16" s="480"/>
      <c r="AZ16" s="480"/>
      <c r="BA16" s="480"/>
      <c r="BB16" s="480"/>
      <c r="BC16" s="480"/>
      <c r="BD16" s="480"/>
      <c r="BE16" s="480"/>
      <c r="BF16" s="480"/>
      <c r="BG16" s="480"/>
      <c r="BH16" s="480"/>
      <c r="BI16" s="480"/>
      <c r="BJ16" s="480"/>
      <c r="BK16" s="480"/>
      <c r="BL16" s="480"/>
      <c r="BM16" s="480"/>
      <c r="BN16" s="480"/>
      <c r="BO16" s="480"/>
      <c r="BP16" s="480"/>
      <c r="BQ16" s="480"/>
    </row>
    <row r="17" spans="1:69" s="470" customFormat="1" ht="82.5" customHeight="1">
      <c r="A17" s="471" t="s">
        <v>247</v>
      </c>
      <c r="B17" s="483" t="s">
        <v>248</v>
      </c>
      <c r="C17" s="473" t="s">
        <v>51</v>
      </c>
      <c r="D17" s="484" t="s">
        <v>543</v>
      </c>
      <c r="E17" s="437">
        <f t="shared" si="0"/>
        <v>550</v>
      </c>
      <c r="F17" s="436">
        <v>0</v>
      </c>
      <c r="G17" s="436">
        <v>0</v>
      </c>
      <c r="H17" s="438">
        <v>550</v>
      </c>
      <c r="I17" s="437">
        <f t="shared" si="1"/>
        <v>634.59699999999998</v>
      </c>
      <c r="J17" s="437">
        <v>0</v>
      </c>
      <c r="K17" s="439">
        <v>0</v>
      </c>
      <c r="L17" s="437">
        <v>634.59699999999998</v>
      </c>
      <c r="M17" s="468"/>
      <c r="N17" s="468"/>
      <c r="O17" s="468"/>
      <c r="P17" s="468"/>
      <c r="Q17" s="468"/>
      <c r="R17" s="468"/>
      <c r="S17" s="468"/>
      <c r="T17" s="468"/>
      <c r="U17" s="468"/>
      <c r="V17" s="468"/>
      <c r="W17" s="468"/>
      <c r="X17" s="468"/>
      <c r="Y17" s="468"/>
      <c r="Z17" s="468"/>
      <c r="AA17" s="468"/>
      <c r="AB17" s="468"/>
      <c r="AC17" s="468"/>
      <c r="AD17" s="468"/>
      <c r="AE17" s="468"/>
      <c r="AF17" s="468"/>
      <c r="AG17" s="468"/>
      <c r="AH17" s="468"/>
      <c r="AI17" s="468"/>
      <c r="AJ17" s="468"/>
      <c r="AK17" s="468"/>
      <c r="AL17" s="468"/>
      <c r="AM17" s="468"/>
      <c r="AN17" s="468"/>
      <c r="AO17" s="468"/>
      <c r="AP17" s="468"/>
      <c r="AQ17" s="468"/>
      <c r="AR17" s="468"/>
      <c r="AS17" s="468"/>
      <c r="AT17" s="468"/>
      <c r="AU17" s="468"/>
      <c r="AV17" s="468"/>
      <c r="AW17" s="468"/>
      <c r="AX17" s="468"/>
      <c r="AY17" s="468"/>
      <c r="AZ17" s="468"/>
      <c r="BA17" s="468"/>
      <c r="BB17" s="468"/>
      <c r="BC17" s="468"/>
      <c r="BD17" s="468"/>
      <c r="BE17" s="468"/>
      <c r="BF17" s="468"/>
      <c r="BG17" s="468"/>
      <c r="BH17" s="468"/>
      <c r="BI17" s="468"/>
      <c r="BJ17" s="468"/>
      <c r="BK17" s="468"/>
      <c r="BL17" s="468"/>
      <c r="BM17" s="468"/>
      <c r="BN17" s="468"/>
      <c r="BO17" s="468"/>
      <c r="BP17" s="468"/>
      <c r="BQ17" s="468"/>
    </row>
    <row r="18" spans="1:69" s="475" customFormat="1" ht="63">
      <c r="A18" s="471" t="s">
        <v>253</v>
      </c>
      <c r="B18" s="483" t="s">
        <v>547</v>
      </c>
      <c r="C18" s="473" t="s">
        <v>34</v>
      </c>
      <c r="D18" s="484" t="s">
        <v>544</v>
      </c>
      <c r="E18" s="437">
        <f t="shared" si="0"/>
        <v>0</v>
      </c>
      <c r="F18" s="436">
        <v>0</v>
      </c>
      <c r="G18" s="436">
        <v>0</v>
      </c>
      <c r="H18" s="437">
        <v>0</v>
      </c>
      <c r="I18" s="437">
        <f t="shared" si="1"/>
        <v>426.27</v>
      </c>
      <c r="J18" s="437">
        <v>0</v>
      </c>
      <c r="K18" s="439">
        <v>0</v>
      </c>
      <c r="L18" s="437">
        <v>426.27</v>
      </c>
      <c r="M18" s="474"/>
      <c r="N18" s="474"/>
      <c r="O18" s="474"/>
      <c r="P18" s="474"/>
      <c r="Q18" s="474"/>
      <c r="R18" s="474"/>
      <c r="S18" s="474"/>
      <c r="T18" s="474"/>
      <c r="U18" s="474"/>
      <c r="V18" s="474"/>
      <c r="W18" s="474"/>
      <c r="X18" s="474"/>
      <c r="Y18" s="474"/>
      <c r="Z18" s="474"/>
      <c r="AA18" s="474"/>
      <c r="AB18" s="474"/>
      <c r="AC18" s="474"/>
      <c r="AD18" s="474"/>
      <c r="AE18" s="474"/>
      <c r="AF18" s="474"/>
      <c r="AG18" s="474"/>
      <c r="AH18" s="474"/>
      <c r="AI18" s="474"/>
      <c r="AJ18" s="474"/>
      <c r="AK18" s="474"/>
      <c r="AL18" s="474"/>
      <c r="AM18" s="474"/>
      <c r="AN18" s="474"/>
      <c r="AO18" s="474"/>
      <c r="AP18" s="474"/>
      <c r="AQ18" s="474"/>
      <c r="AR18" s="474"/>
      <c r="AS18" s="474"/>
      <c r="AT18" s="474"/>
      <c r="AU18" s="474"/>
      <c r="AV18" s="474"/>
      <c r="AW18" s="474"/>
      <c r="AX18" s="474"/>
      <c r="AY18" s="474"/>
      <c r="AZ18" s="474"/>
      <c r="BA18" s="474"/>
      <c r="BB18" s="474"/>
      <c r="BC18" s="474"/>
      <c r="BD18" s="474"/>
      <c r="BE18" s="474"/>
      <c r="BF18" s="474"/>
      <c r="BG18" s="474"/>
      <c r="BH18" s="474"/>
      <c r="BI18" s="474"/>
      <c r="BJ18" s="474"/>
      <c r="BK18" s="474"/>
      <c r="BL18" s="474"/>
      <c r="BM18" s="474"/>
      <c r="BN18" s="474"/>
      <c r="BO18" s="474"/>
      <c r="BP18" s="474"/>
      <c r="BQ18" s="474"/>
    </row>
    <row r="19" spans="1:69" s="475" customFormat="1" ht="78.75">
      <c r="A19" s="471" t="s">
        <v>546</v>
      </c>
      <c r="B19" s="483" t="s">
        <v>55</v>
      </c>
      <c r="C19" s="473" t="s">
        <v>51</v>
      </c>
      <c r="D19" s="473" t="s">
        <v>543</v>
      </c>
      <c r="E19" s="437">
        <f t="shared" si="0"/>
        <v>1150</v>
      </c>
      <c r="F19" s="436">
        <v>0</v>
      </c>
      <c r="G19" s="436">
        <v>0</v>
      </c>
      <c r="H19" s="437">
        <v>1150</v>
      </c>
      <c r="I19" s="437">
        <f t="shared" si="1"/>
        <v>162.13999999999999</v>
      </c>
      <c r="J19" s="437">
        <v>0</v>
      </c>
      <c r="K19" s="439">
        <v>0</v>
      </c>
      <c r="L19" s="437">
        <v>162.13999999999999</v>
      </c>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4"/>
      <c r="AL19" s="474"/>
      <c r="AM19" s="474"/>
      <c r="AN19" s="474"/>
      <c r="AO19" s="474"/>
      <c r="AP19" s="474"/>
      <c r="AQ19" s="474"/>
      <c r="AR19" s="474"/>
      <c r="AS19" s="474"/>
      <c r="AT19" s="474"/>
      <c r="AU19" s="474"/>
      <c r="AV19" s="474"/>
      <c r="AW19" s="474"/>
      <c r="AX19" s="474"/>
      <c r="AY19" s="474"/>
      <c r="AZ19" s="474"/>
      <c r="BA19" s="474"/>
      <c r="BB19" s="474"/>
      <c r="BC19" s="474"/>
      <c r="BD19" s="474"/>
      <c r="BE19" s="474"/>
      <c r="BF19" s="474"/>
      <c r="BG19" s="474"/>
      <c r="BH19" s="474"/>
      <c r="BI19" s="474"/>
      <c r="BJ19" s="474"/>
      <c r="BK19" s="474"/>
      <c r="BL19" s="474"/>
      <c r="BM19" s="474"/>
      <c r="BN19" s="474"/>
      <c r="BO19" s="474"/>
      <c r="BP19" s="474"/>
      <c r="BQ19" s="474"/>
    </row>
    <row r="20" spans="1:69" s="475" customFormat="1" ht="110.25">
      <c r="A20" s="471" t="s">
        <v>256</v>
      </c>
      <c r="B20" s="483" t="s">
        <v>548</v>
      </c>
      <c r="C20" s="473" t="s">
        <v>545</v>
      </c>
      <c r="D20" s="473" t="s">
        <v>543</v>
      </c>
      <c r="E20" s="436">
        <f t="shared" si="0"/>
        <v>1950.8</v>
      </c>
      <c r="F20" s="436">
        <v>0</v>
      </c>
      <c r="G20" s="436">
        <v>0</v>
      </c>
      <c r="H20" s="437">
        <v>1950.8</v>
      </c>
      <c r="I20" s="437">
        <f t="shared" si="1"/>
        <v>0</v>
      </c>
      <c r="J20" s="437">
        <v>0</v>
      </c>
      <c r="K20" s="439">
        <v>0</v>
      </c>
      <c r="L20" s="437">
        <v>0</v>
      </c>
      <c r="M20" s="474"/>
      <c r="N20" s="474"/>
      <c r="O20" s="474"/>
      <c r="P20" s="474"/>
      <c r="Q20" s="474"/>
      <c r="R20" s="474"/>
      <c r="S20" s="474"/>
      <c r="T20" s="474"/>
      <c r="U20" s="474"/>
      <c r="V20" s="474"/>
      <c r="W20" s="474"/>
      <c r="X20" s="474"/>
      <c r="Y20" s="474"/>
      <c r="Z20" s="474"/>
      <c r="AA20" s="474"/>
      <c r="AB20" s="474"/>
      <c r="AC20" s="474"/>
      <c r="AD20" s="474"/>
      <c r="AE20" s="474"/>
      <c r="AF20" s="474"/>
      <c r="AG20" s="474"/>
      <c r="AH20" s="474"/>
      <c r="AI20" s="474"/>
      <c r="AJ20" s="474"/>
      <c r="AK20" s="474"/>
      <c r="AL20" s="474"/>
      <c r="AM20" s="474"/>
      <c r="AN20" s="474"/>
      <c r="AO20" s="474"/>
      <c r="AP20" s="474"/>
      <c r="AQ20" s="474"/>
      <c r="AR20" s="474"/>
      <c r="AS20" s="474"/>
      <c r="AT20" s="474"/>
      <c r="AU20" s="474"/>
      <c r="AV20" s="474"/>
      <c r="AW20" s="474"/>
      <c r="AX20" s="474"/>
      <c r="AY20" s="474"/>
      <c r="AZ20" s="474"/>
      <c r="BA20" s="474"/>
      <c r="BB20" s="474"/>
      <c r="BC20" s="474"/>
      <c r="BD20" s="474"/>
      <c r="BE20" s="474"/>
      <c r="BF20" s="474"/>
      <c r="BG20" s="474"/>
      <c r="BH20" s="474"/>
      <c r="BI20" s="474"/>
      <c r="BJ20" s="474"/>
      <c r="BK20" s="474"/>
      <c r="BL20" s="474"/>
      <c r="BM20" s="474"/>
      <c r="BN20" s="474"/>
      <c r="BO20" s="474"/>
      <c r="BP20" s="474"/>
      <c r="BQ20" s="474"/>
    </row>
    <row r="21" spans="1:69" s="475" customFormat="1" ht="78.75">
      <c r="A21" s="471" t="s">
        <v>261</v>
      </c>
      <c r="B21" s="485" t="s">
        <v>57</v>
      </c>
      <c r="C21" s="473" t="s">
        <v>34</v>
      </c>
      <c r="D21" s="484" t="s">
        <v>543</v>
      </c>
      <c r="E21" s="437">
        <f t="shared" si="0"/>
        <v>635</v>
      </c>
      <c r="F21" s="437">
        <v>0</v>
      </c>
      <c r="G21" s="437">
        <v>0</v>
      </c>
      <c r="H21" s="437">
        <v>635</v>
      </c>
      <c r="I21" s="437">
        <f t="shared" si="1"/>
        <v>41.8</v>
      </c>
      <c r="J21" s="437">
        <v>0</v>
      </c>
      <c r="K21" s="439">
        <v>0</v>
      </c>
      <c r="L21" s="437">
        <v>41.8</v>
      </c>
      <c r="M21" s="474"/>
      <c r="N21" s="474"/>
      <c r="O21" s="474"/>
      <c r="P21" s="474"/>
      <c r="Q21" s="474"/>
      <c r="R21" s="474"/>
      <c r="S21" s="474"/>
      <c r="T21" s="474"/>
      <c r="U21" s="474"/>
      <c r="V21" s="474"/>
      <c r="W21" s="474"/>
      <c r="X21" s="474"/>
      <c r="Y21" s="474"/>
      <c r="Z21" s="474"/>
      <c r="AA21" s="474"/>
      <c r="AB21" s="474"/>
      <c r="AC21" s="474"/>
      <c r="AD21" s="474"/>
      <c r="AE21" s="474"/>
      <c r="AF21" s="474"/>
      <c r="AG21" s="474"/>
      <c r="AH21" s="474"/>
      <c r="AI21" s="474"/>
      <c r="AJ21" s="474"/>
      <c r="AK21" s="474"/>
      <c r="AL21" s="474"/>
      <c r="AM21" s="474"/>
      <c r="AN21" s="474"/>
      <c r="AO21" s="474"/>
      <c r="AP21" s="474"/>
      <c r="AQ21" s="474"/>
      <c r="AR21" s="474"/>
      <c r="AS21" s="474"/>
      <c r="AT21" s="474"/>
      <c r="AU21" s="474"/>
      <c r="AV21" s="474"/>
      <c r="AW21" s="474"/>
      <c r="AX21" s="474"/>
      <c r="AY21" s="474"/>
      <c r="AZ21" s="474"/>
      <c r="BA21" s="474"/>
      <c r="BB21" s="474"/>
      <c r="BC21" s="474"/>
      <c r="BD21" s="474"/>
      <c r="BE21" s="474"/>
      <c r="BF21" s="474"/>
      <c r="BG21" s="474"/>
      <c r="BH21" s="474"/>
      <c r="BI21" s="474"/>
      <c r="BJ21" s="474"/>
      <c r="BK21" s="474"/>
      <c r="BL21" s="474"/>
      <c r="BM21" s="474"/>
      <c r="BN21" s="474"/>
      <c r="BO21" s="474"/>
      <c r="BP21" s="474"/>
      <c r="BQ21" s="474"/>
    </row>
    <row r="22" spans="1:69" s="475" customFormat="1" ht="94.5">
      <c r="A22" s="471" t="s">
        <v>265</v>
      </c>
      <c r="B22" s="472" t="s">
        <v>549</v>
      </c>
      <c r="C22" s="486" t="s">
        <v>552</v>
      </c>
      <c r="D22" s="484" t="s">
        <v>550</v>
      </c>
      <c r="E22" s="437">
        <f t="shared" si="0"/>
        <v>3916.19</v>
      </c>
      <c r="F22" s="437">
        <f>SUM(F23:F26)</f>
        <v>2163.29</v>
      </c>
      <c r="G22" s="437">
        <f>SUM(G23:G26)</f>
        <v>1752.9</v>
      </c>
      <c r="H22" s="437">
        <f>SUM(H23:H26)</f>
        <v>0</v>
      </c>
      <c r="I22" s="437">
        <f>SUM(J22:L22)</f>
        <v>1641.6786299999999</v>
      </c>
      <c r="J22" s="437">
        <f>SUM(J23:J26)</f>
        <v>1599.7283</v>
      </c>
      <c r="K22" s="437">
        <f>SUM(K23:K26)</f>
        <v>0</v>
      </c>
      <c r="L22" s="437">
        <f>SUM(L23:L26)</f>
        <v>41.950329999999994</v>
      </c>
      <c r="M22" s="474"/>
      <c r="N22" s="474"/>
      <c r="O22" s="474"/>
      <c r="P22" s="474"/>
      <c r="Q22" s="474"/>
      <c r="R22" s="474"/>
      <c r="S22" s="474"/>
      <c r="T22" s="474"/>
      <c r="U22" s="474"/>
      <c r="V22" s="474"/>
      <c r="W22" s="474"/>
      <c r="X22" s="474"/>
      <c r="Y22" s="474"/>
      <c r="Z22" s="474"/>
      <c r="AA22" s="474"/>
      <c r="AB22" s="474"/>
      <c r="AC22" s="474"/>
      <c r="AD22" s="474"/>
      <c r="AE22" s="474"/>
      <c r="AF22" s="474"/>
      <c r="AG22" s="474"/>
      <c r="AH22" s="474"/>
      <c r="AI22" s="474"/>
      <c r="AJ22" s="474"/>
      <c r="AK22" s="474"/>
      <c r="AL22" s="474"/>
      <c r="AM22" s="474"/>
      <c r="AN22" s="474"/>
      <c r="AO22" s="474"/>
      <c r="AP22" s="474"/>
      <c r="AQ22" s="474"/>
      <c r="AR22" s="474"/>
      <c r="AS22" s="474"/>
      <c r="AT22" s="474"/>
      <c r="AU22" s="474"/>
      <c r="AV22" s="474"/>
      <c r="AW22" s="474"/>
      <c r="AX22" s="474"/>
      <c r="AY22" s="474"/>
      <c r="AZ22" s="474"/>
      <c r="BA22" s="474"/>
      <c r="BB22" s="474"/>
      <c r="BC22" s="474"/>
      <c r="BD22" s="474"/>
      <c r="BE22" s="474"/>
      <c r="BF22" s="474"/>
      <c r="BG22" s="474"/>
      <c r="BH22" s="474"/>
      <c r="BI22" s="474"/>
      <c r="BJ22" s="474"/>
      <c r="BK22" s="474"/>
      <c r="BL22" s="474"/>
      <c r="BM22" s="474"/>
      <c r="BN22" s="474"/>
      <c r="BO22" s="474"/>
      <c r="BP22" s="474"/>
      <c r="BQ22" s="474"/>
    </row>
    <row r="23" spans="1:69" s="481" customFormat="1" ht="89.25">
      <c r="A23" s="476"/>
      <c r="B23" s="477" t="s">
        <v>678</v>
      </c>
      <c r="C23" s="479" t="s">
        <v>680</v>
      </c>
      <c r="D23" s="479" t="s">
        <v>550</v>
      </c>
      <c r="E23" s="312">
        <f t="shared" si="0"/>
        <v>0</v>
      </c>
      <c r="F23" s="312">
        <v>0</v>
      </c>
      <c r="G23" s="312">
        <v>0</v>
      </c>
      <c r="H23" s="312">
        <v>0</v>
      </c>
      <c r="I23" s="93">
        <f t="shared" ref="I23:I35" si="2">SUM(J23:L23)</f>
        <v>0</v>
      </c>
      <c r="J23" s="93">
        <v>0</v>
      </c>
      <c r="K23" s="313">
        <v>0</v>
      </c>
      <c r="L23" s="93">
        <v>0</v>
      </c>
      <c r="M23" s="480"/>
      <c r="N23" s="480"/>
      <c r="O23" s="480"/>
      <c r="P23" s="480"/>
      <c r="Q23" s="480"/>
      <c r="R23" s="480"/>
      <c r="S23" s="480"/>
      <c r="T23" s="480"/>
      <c r="U23" s="480"/>
      <c r="V23" s="480"/>
      <c r="W23" s="480"/>
      <c r="X23" s="480"/>
      <c r="Y23" s="480"/>
      <c r="Z23" s="480"/>
      <c r="AA23" s="480"/>
      <c r="AB23" s="480"/>
      <c r="AC23" s="480"/>
      <c r="AD23" s="480"/>
      <c r="AE23" s="480"/>
      <c r="AF23" s="480"/>
      <c r="AG23" s="480"/>
      <c r="AH23" s="480"/>
      <c r="AI23" s="480"/>
      <c r="AJ23" s="480"/>
      <c r="AK23" s="480"/>
      <c r="AL23" s="480"/>
      <c r="AM23" s="480"/>
      <c r="AN23" s="480"/>
      <c r="AO23" s="480"/>
      <c r="AP23" s="480"/>
      <c r="AQ23" s="480"/>
      <c r="AR23" s="480"/>
      <c r="AS23" s="480"/>
      <c r="AT23" s="480"/>
      <c r="AU23" s="480"/>
      <c r="AV23" s="480"/>
      <c r="AW23" s="480"/>
      <c r="AX23" s="480"/>
      <c r="AY23" s="480"/>
      <c r="AZ23" s="480"/>
      <c r="BA23" s="480"/>
      <c r="BB23" s="480"/>
      <c r="BC23" s="480"/>
      <c r="BD23" s="480"/>
      <c r="BE23" s="480"/>
      <c r="BF23" s="480"/>
      <c r="BG23" s="480"/>
      <c r="BH23" s="480"/>
      <c r="BI23" s="480"/>
      <c r="BJ23" s="480"/>
      <c r="BK23" s="480"/>
      <c r="BL23" s="480"/>
      <c r="BM23" s="480"/>
      <c r="BN23" s="480"/>
      <c r="BO23" s="480"/>
      <c r="BP23" s="480"/>
      <c r="BQ23" s="480"/>
    </row>
    <row r="24" spans="1:69" s="481" customFormat="1" ht="89.25">
      <c r="A24" s="476"/>
      <c r="B24" s="477" t="s">
        <v>679</v>
      </c>
      <c r="C24" s="487" t="s">
        <v>552</v>
      </c>
      <c r="D24" s="479" t="s">
        <v>550</v>
      </c>
      <c r="E24" s="312">
        <f t="shared" si="0"/>
        <v>292.90000000000003</v>
      </c>
      <c r="F24" s="312">
        <v>0</v>
      </c>
      <c r="G24" s="312">
        <v>292.90000000000003</v>
      </c>
      <c r="H24" s="312">
        <v>0</v>
      </c>
      <c r="I24" s="93">
        <f t="shared" si="2"/>
        <v>0</v>
      </c>
      <c r="J24" s="93">
        <v>0</v>
      </c>
      <c r="K24" s="313">
        <v>0</v>
      </c>
      <c r="L24" s="93">
        <v>0</v>
      </c>
      <c r="M24" s="480"/>
      <c r="N24" s="480"/>
      <c r="O24" s="480"/>
      <c r="P24" s="480"/>
      <c r="Q24" s="480"/>
      <c r="R24" s="480"/>
      <c r="S24" s="480"/>
      <c r="T24" s="480"/>
      <c r="U24" s="480"/>
      <c r="V24" s="480"/>
      <c r="W24" s="480"/>
      <c r="X24" s="480"/>
      <c r="Y24" s="480"/>
      <c r="Z24" s="480"/>
      <c r="AA24" s="480"/>
      <c r="AB24" s="480"/>
      <c r="AC24" s="480"/>
      <c r="AD24" s="480"/>
      <c r="AE24" s="480"/>
      <c r="AF24" s="480"/>
      <c r="AG24" s="480"/>
      <c r="AH24" s="480"/>
      <c r="AI24" s="480"/>
      <c r="AJ24" s="480"/>
      <c r="AK24" s="480"/>
      <c r="AL24" s="480"/>
      <c r="AM24" s="480"/>
      <c r="AN24" s="480"/>
      <c r="AO24" s="480"/>
      <c r="AP24" s="480"/>
      <c r="AQ24" s="480"/>
      <c r="AR24" s="480"/>
      <c r="AS24" s="480"/>
      <c r="AT24" s="480"/>
      <c r="AU24" s="480"/>
      <c r="AV24" s="480"/>
      <c r="AW24" s="480"/>
      <c r="AX24" s="480"/>
      <c r="AY24" s="480"/>
      <c r="AZ24" s="480"/>
      <c r="BA24" s="480"/>
      <c r="BB24" s="480"/>
      <c r="BC24" s="480"/>
      <c r="BD24" s="480"/>
      <c r="BE24" s="480"/>
      <c r="BF24" s="480"/>
      <c r="BG24" s="480"/>
      <c r="BH24" s="480"/>
      <c r="BI24" s="480"/>
      <c r="BJ24" s="480"/>
      <c r="BK24" s="480"/>
      <c r="BL24" s="480"/>
      <c r="BM24" s="480"/>
      <c r="BN24" s="480"/>
      <c r="BO24" s="480"/>
      <c r="BP24" s="480"/>
      <c r="BQ24" s="480"/>
    </row>
    <row r="25" spans="1:69" s="481" customFormat="1" ht="63.75">
      <c r="A25" s="476"/>
      <c r="B25" s="488" t="s">
        <v>681</v>
      </c>
      <c r="C25" s="479" t="s">
        <v>551</v>
      </c>
      <c r="D25" s="479" t="s">
        <v>550</v>
      </c>
      <c r="E25" s="93">
        <f t="shared" si="0"/>
        <v>0</v>
      </c>
      <c r="F25" s="93">
        <v>0</v>
      </c>
      <c r="G25" s="93">
        <v>0</v>
      </c>
      <c r="H25" s="93">
        <v>0</v>
      </c>
      <c r="I25" s="93">
        <f t="shared" si="2"/>
        <v>0</v>
      </c>
      <c r="J25" s="93">
        <v>0</v>
      </c>
      <c r="K25" s="313">
        <v>0</v>
      </c>
      <c r="L25" s="93">
        <v>0</v>
      </c>
      <c r="M25" s="480"/>
      <c r="N25" s="480"/>
      <c r="O25" s="480"/>
      <c r="P25" s="480"/>
      <c r="Q25" s="480"/>
      <c r="R25" s="480"/>
      <c r="S25" s="480"/>
      <c r="T25" s="480"/>
      <c r="U25" s="480"/>
      <c r="V25" s="480"/>
      <c r="W25" s="480"/>
      <c r="X25" s="480"/>
      <c r="Y25" s="480"/>
      <c r="Z25" s="480"/>
      <c r="AA25" s="480"/>
      <c r="AB25" s="480"/>
      <c r="AC25" s="480"/>
      <c r="AD25" s="480"/>
      <c r="AE25" s="480"/>
      <c r="AF25" s="480"/>
      <c r="AG25" s="480"/>
      <c r="AH25" s="480"/>
      <c r="AI25" s="480"/>
      <c r="AJ25" s="480"/>
      <c r="AK25" s="480"/>
      <c r="AL25" s="480"/>
      <c r="AM25" s="480"/>
      <c r="AN25" s="480"/>
      <c r="AO25" s="480"/>
      <c r="AP25" s="480"/>
      <c r="AQ25" s="480"/>
      <c r="AR25" s="480"/>
      <c r="AS25" s="480"/>
      <c r="AT25" s="480"/>
      <c r="AU25" s="480"/>
      <c r="AV25" s="480"/>
      <c r="AW25" s="480"/>
      <c r="AX25" s="480"/>
      <c r="AY25" s="480"/>
      <c r="AZ25" s="480"/>
      <c r="BA25" s="480"/>
      <c r="BB25" s="480"/>
      <c r="BC25" s="480"/>
      <c r="BD25" s="480"/>
      <c r="BE25" s="480"/>
      <c r="BF25" s="480"/>
      <c r="BG25" s="480"/>
      <c r="BH25" s="480"/>
      <c r="BI25" s="480"/>
      <c r="BJ25" s="480"/>
      <c r="BK25" s="480"/>
      <c r="BL25" s="480"/>
      <c r="BM25" s="480"/>
      <c r="BN25" s="480"/>
      <c r="BO25" s="480"/>
      <c r="BP25" s="480"/>
      <c r="BQ25" s="480"/>
    </row>
    <row r="26" spans="1:69" s="481" customFormat="1" ht="25.5">
      <c r="A26" s="476"/>
      <c r="B26" s="477" t="s">
        <v>682</v>
      </c>
      <c r="C26" s="487" t="s">
        <v>62</v>
      </c>
      <c r="D26" s="479" t="s">
        <v>543</v>
      </c>
      <c r="E26" s="93">
        <f t="shared" si="0"/>
        <v>3623.29</v>
      </c>
      <c r="F26" s="93">
        <v>2163.29</v>
      </c>
      <c r="G26" s="93">
        <v>1460</v>
      </c>
      <c r="H26" s="93">
        <v>0</v>
      </c>
      <c r="I26" s="93">
        <f t="shared" si="2"/>
        <v>1641.6786299999999</v>
      </c>
      <c r="J26" s="93">
        <f>166.182+1433.5463</f>
        <v>1599.7283</v>
      </c>
      <c r="K26" s="313">
        <v>0</v>
      </c>
      <c r="L26" s="93">
        <f>4.90163+37.0487</f>
        <v>41.950329999999994</v>
      </c>
      <c r="M26" s="480"/>
      <c r="N26" s="480"/>
      <c r="O26" s="480"/>
      <c r="P26" s="480"/>
      <c r="Q26" s="480"/>
      <c r="R26" s="480"/>
      <c r="S26" s="480"/>
      <c r="T26" s="480"/>
      <c r="U26" s="480"/>
      <c r="V26" s="480"/>
      <c r="W26" s="480"/>
      <c r="X26" s="480"/>
      <c r="Y26" s="480"/>
      <c r="Z26" s="480"/>
      <c r="AA26" s="480"/>
      <c r="AB26" s="480"/>
      <c r="AC26" s="480"/>
      <c r="AD26" s="480"/>
      <c r="AE26" s="480"/>
      <c r="AF26" s="480"/>
      <c r="AG26" s="480"/>
      <c r="AH26" s="480"/>
      <c r="AI26" s="480"/>
      <c r="AJ26" s="480"/>
      <c r="AK26" s="480"/>
      <c r="AL26" s="480"/>
      <c r="AM26" s="480"/>
      <c r="AN26" s="480"/>
      <c r="AO26" s="480"/>
      <c r="AP26" s="480"/>
      <c r="AQ26" s="480"/>
      <c r="AR26" s="480"/>
      <c r="AS26" s="480"/>
      <c r="AT26" s="480"/>
      <c r="AU26" s="480"/>
      <c r="AV26" s="480"/>
      <c r="AW26" s="480"/>
      <c r="AX26" s="480"/>
      <c r="AY26" s="480"/>
      <c r="AZ26" s="480"/>
      <c r="BA26" s="480"/>
      <c r="BB26" s="480"/>
      <c r="BC26" s="480"/>
      <c r="BD26" s="480"/>
      <c r="BE26" s="480"/>
      <c r="BF26" s="480"/>
      <c r="BG26" s="480"/>
      <c r="BH26" s="480"/>
      <c r="BI26" s="480"/>
      <c r="BJ26" s="480"/>
      <c r="BK26" s="480"/>
      <c r="BL26" s="480"/>
      <c r="BM26" s="480"/>
      <c r="BN26" s="480"/>
      <c r="BO26" s="480"/>
      <c r="BP26" s="480"/>
      <c r="BQ26" s="480"/>
    </row>
    <row r="27" spans="1:69" s="475" customFormat="1" ht="63">
      <c r="A27" s="471" t="s">
        <v>427</v>
      </c>
      <c r="B27" s="489" t="s">
        <v>430</v>
      </c>
      <c r="C27" s="490" t="s">
        <v>62</v>
      </c>
      <c r="D27" s="484" t="s">
        <v>543</v>
      </c>
      <c r="E27" s="437">
        <f t="shared" si="0"/>
        <v>4838.03</v>
      </c>
      <c r="F27" s="437">
        <f>SUM(F28:F30)</f>
        <v>3123.45</v>
      </c>
      <c r="G27" s="437">
        <f>SUM(G28:G30)</f>
        <v>1714.58</v>
      </c>
      <c r="H27" s="437">
        <f>SUM(H28:H30)</f>
        <v>0</v>
      </c>
      <c r="I27" s="437">
        <f t="shared" si="2"/>
        <v>462.19301999999999</v>
      </c>
      <c r="J27" s="437">
        <f>SUM(J28:J30)</f>
        <v>33.793019999999999</v>
      </c>
      <c r="K27" s="437">
        <f>SUM(K28:K30)</f>
        <v>428.4</v>
      </c>
      <c r="L27" s="437">
        <f>SUM(L28:L30)</f>
        <v>0</v>
      </c>
      <c r="M27" s="474"/>
      <c r="N27" s="474"/>
      <c r="O27" s="474"/>
      <c r="P27" s="474"/>
      <c r="Q27" s="474"/>
      <c r="R27" s="474"/>
      <c r="S27" s="474"/>
      <c r="T27" s="474"/>
      <c r="U27" s="474"/>
      <c r="V27" s="474"/>
      <c r="W27" s="474"/>
      <c r="X27" s="474"/>
      <c r="Y27" s="474"/>
      <c r="Z27" s="474"/>
      <c r="AA27" s="474"/>
      <c r="AB27" s="474"/>
      <c r="AC27" s="474"/>
      <c r="AD27" s="474"/>
      <c r="AE27" s="474"/>
      <c r="AF27" s="474"/>
      <c r="AG27" s="474"/>
      <c r="AH27" s="474"/>
      <c r="AI27" s="474"/>
      <c r="AJ27" s="474"/>
      <c r="AK27" s="474"/>
      <c r="AL27" s="474"/>
      <c r="AM27" s="474"/>
      <c r="AN27" s="474"/>
      <c r="AO27" s="474"/>
      <c r="AP27" s="474"/>
      <c r="AQ27" s="474"/>
      <c r="AR27" s="474"/>
      <c r="AS27" s="474"/>
      <c r="AT27" s="474"/>
      <c r="AU27" s="474"/>
      <c r="AV27" s="474"/>
      <c r="AW27" s="474"/>
      <c r="AX27" s="474"/>
      <c r="AY27" s="474"/>
      <c r="AZ27" s="474"/>
      <c r="BA27" s="474"/>
      <c r="BB27" s="474"/>
      <c r="BC27" s="474"/>
      <c r="BD27" s="474"/>
      <c r="BE27" s="474"/>
      <c r="BF27" s="474"/>
      <c r="BG27" s="474"/>
      <c r="BH27" s="474"/>
      <c r="BI27" s="474"/>
      <c r="BJ27" s="474"/>
      <c r="BK27" s="474"/>
      <c r="BL27" s="474"/>
      <c r="BM27" s="474"/>
      <c r="BN27" s="474"/>
      <c r="BO27" s="474"/>
      <c r="BP27" s="474"/>
      <c r="BQ27" s="474"/>
    </row>
    <row r="28" spans="1:69" s="481" customFormat="1" ht="25.5">
      <c r="A28" s="476"/>
      <c r="B28" s="477" t="s">
        <v>619</v>
      </c>
      <c r="C28" s="487" t="s">
        <v>62</v>
      </c>
      <c r="D28" s="479" t="s">
        <v>543</v>
      </c>
      <c r="E28" s="93">
        <f t="shared" si="0"/>
        <v>3108.87</v>
      </c>
      <c r="F28" s="93">
        <v>3108.87</v>
      </c>
      <c r="G28" s="93">
        <v>0</v>
      </c>
      <c r="H28" s="93">
        <v>0</v>
      </c>
      <c r="I28" s="93">
        <f t="shared" si="2"/>
        <v>33.793019999999999</v>
      </c>
      <c r="J28" s="93">
        <f>7.51096+26.28206</f>
        <v>33.793019999999999</v>
      </c>
      <c r="K28" s="313">
        <v>0</v>
      </c>
      <c r="L28" s="93">
        <v>0</v>
      </c>
      <c r="M28" s="480"/>
      <c r="N28" s="480"/>
      <c r="O28" s="480"/>
      <c r="P28" s="480"/>
      <c r="Q28" s="480"/>
      <c r="R28" s="480"/>
      <c r="S28" s="480"/>
      <c r="T28" s="480"/>
      <c r="U28" s="480"/>
      <c r="V28" s="480"/>
      <c r="W28" s="480"/>
      <c r="X28" s="480"/>
      <c r="Y28" s="480"/>
      <c r="Z28" s="480"/>
      <c r="AA28" s="480"/>
      <c r="AB28" s="480"/>
      <c r="AC28" s="480"/>
      <c r="AD28" s="480"/>
      <c r="AE28" s="480"/>
      <c r="AF28" s="480"/>
      <c r="AG28" s="480"/>
      <c r="AH28" s="480"/>
      <c r="AI28" s="480"/>
      <c r="AJ28" s="480"/>
      <c r="AK28" s="480"/>
      <c r="AL28" s="480"/>
      <c r="AM28" s="480"/>
      <c r="AN28" s="480"/>
      <c r="AO28" s="480"/>
      <c r="AP28" s="480"/>
      <c r="AQ28" s="480"/>
      <c r="AR28" s="480"/>
      <c r="AS28" s="480"/>
      <c r="AT28" s="480"/>
      <c r="AU28" s="480"/>
      <c r="AV28" s="480"/>
      <c r="AW28" s="480"/>
      <c r="AX28" s="480"/>
      <c r="AY28" s="480"/>
      <c r="AZ28" s="480"/>
      <c r="BA28" s="480"/>
      <c r="BB28" s="480"/>
      <c r="BC28" s="480"/>
      <c r="BD28" s="480"/>
      <c r="BE28" s="480"/>
      <c r="BF28" s="480"/>
      <c r="BG28" s="480"/>
      <c r="BH28" s="480"/>
      <c r="BI28" s="480"/>
      <c r="BJ28" s="480"/>
      <c r="BK28" s="480"/>
      <c r="BL28" s="480"/>
      <c r="BM28" s="480"/>
      <c r="BN28" s="480"/>
      <c r="BO28" s="480"/>
      <c r="BP28" s="480"/>
      <c r="BQ28" s="480"/>
    </row>
    <row r="29" spans="1:69" s="481" customFormat="1" ht="51">
      <c r="A29" s="476"/>
      <c r="B29" s="477" t="s">
        <v>620</v>
      </c>
      <c r="C29" s="487" t="s">
        <v>62</v>
      </c>
      <c r="D29" s="479" t="s">
        <v>543</v>
      </c>
      <c r="E29" s="93">
        <f t="shared" si="0"/>
        <v>1714.58</v>
      </c>
      <c r="F29" s="93">
        <v>0</v>
      </c>
      <c r="G29" s="93">
        <v>1714.58</v>
      </c>
      <c r="H29" s="93">
        <v>0</v>
      </c>
      <c r="I29" s="93">
        <f t="shared" si="2"/>
        <v>428.4</v>
      </c>
      <c r="J29" s="93">
        <v>0</v>
      </c>
      <c r="K29" s="313">
        <v>428.4</v>
      </c>
      <c r="L29" s="93">
        <v>0</v>
      </c>
      <c r="M29" s="480"/>
      <c r="N29" s="480"/>
      <c r="O29" s="480"/>
      <c r="P29" s="480"/>
      <c r="Q29" s="480"/>
      <c r="R29" s="480"/>
      <c r="S29" s="480"/>
      <c r="T29" s="480"/>
      <c r="U29" s="480"/>
      <c r="V29" s="480"/>
      <c r="W29" s="480"/>
      <c r="X29" s="480"/>
      <c r="Y29" s="480"/>
      <c r="Z29" s="480"/>
      <c r="AA29" s="480"/>
      <c r="AB29" s="480"/>
      <c r="AC29" s="480"/>
      <c r="AD29" s="480"/>
      <c r="AE29" s="480"/>
      <c r="AF29" s="480"/>
      <c r="AG29" s="480"/>
      <c r="AH29" s="480"/>
      <c r="AI29" s="480"/>
      <c r="AJ29" s="480"/>
      <c r="AK29" s="480"/>
      <c r="AL29" s="480"/>
      <c r="AM29" s="480"/>
      <c r="AN29" s="480"/>
      <c r="AO29" s="480"/>
      <c r="AP29" s="480"/>
      <c r="AQ29" s="480"/>
      <c r="AR29" s="480"/>
      <c r="AS29" s="480"/>
      <c r="AT29" s="480"/>
      <c r="AU29" s="480"/>
      <c r="AV29" s="480"/>
      <c r="AW29" s="480"/>
      <c r="AX29" s="480"/>
      <c r="AY29" s="480"/>
      <c r="AZ29" s="480"/>
      <c r="BA29" s="480"/>
      <c r="BB29" s="480"/>
      <c r="BC29" s="480"/>
      <c r="BD29" s="480"/>
      <c r="BE29" s="480"/>
      <c r="BF29" s="480"/>
      <c r="BG29" s="480"/>
      <c r="BH29" s="480"/>
      <c r="BI29" s="480"/>
      <c r="BJ29" s="480"/>
      <c r="BK29" s="480"/>
      <c r="BL29" s="480"/>
      <c r="BM29" s="480"/>
      <c r="BN29" s="480"/>
      <c r="BO29" s="480"/>
      <c r="BP29" s="480"/>
      <c r="BQ29" s="480"/>
    </row>
    <row r="30" spans="1:69" s="481" customFormat="1" ht="44.25" customHeight="1">
      <c r="A30" s="476"/>
      <c r="B30" s="477" t="s">
        <v>621</v>
      </c>
      <c r="C30" s="487" t="s">
        <v>62</v>
      </c>
      <c r="D30" s="479" t="s">
        <v>543</v>
      </c>
      <c r="E30" s="93">
        <f t="shared" si="0"/>
        <v>14.58</v>
      </c>
      <c r="F30" s="93">
        <v>14.58</v>
      </c>
      <c r="G30" s="93">
        <v>0</v>
      </c>
      <c r="H30" s="93">
        <v>0</v>
      </c>
      <c r="I30" s="93">
        <f t="shared" si="2"/>
        <v>0</v>
      </c>
      <c r="J30" s="93">
        <v>0</v>
      </c>
      <c r="K30" s="313">
        <v>0</v>
      </c>
      <c r="L30" s="93">
        <v>0</v>
      </c>
      <c r="M30" s="480"/>
      <c r="N30" s="480"/>
      <c r="O30" s="480"/>
      <c r="P30" s="480"/>
      <c r="Q30" s="480"/>
      <c r="R30" s="480"/>
      <c r="S30" s="480"/>
      <c r="T30" s="480"/>
      <c r="U30" s="480"/>
      <c r="V30" s="480"/>
      <c r="W30" s="480"/>
      <c r="X30" s="480"/>
      <c r="Y30" s="480"/>
      <c r="Z30" s="480"/>
      <c r="AA30" s="480"/>
      <c r="AB30" s="480"/>
      <c r="AC30" s="480"/>
      <c r="AD30" s="480"/>
      <c r="AE30" s="480"/>
      <c r="AF30" s="480"/>
      <c r="AG30" s="480"/>
      <c r="AH30" s="480"/>
      <c r="AI30" s="480"/>
      <c r="AJ30" s="480"/>
      <c r="AK30" s="480"/>
      <c r="AL30" s="480"/>
      <c r="AM30" s="480"/>
      <c r="AN30" s="480"/>
      <c r="AO30" s="480"/>
      <c r="AP30" s="480"/>
      <c r="AQ30" s="480"/>
      <c r="AR30" s="480"/>
      <c r="AS30" s="480"/>
      <c r="AT30" s="480"/>
      <c r="AU30" s="480"/>
      <c r="AV30" s="480"/>
      <c r="AW30" s="480"/>
      <c r="AX30" s="480"/>
      <c r="AY30" s="480"/>
      <c r="AZ30" s="480"/>
      <c r="BA30" s="480"/>
      <c r="BB30" s="480"/>
      <c r="BC30" s="480"/>
      <c r="BD30" s="480"/>
      <c r="BE30" s="480"/>
      <c r="BF30" s="480"/>
      <c r="BG30" s="480"/>
      <c r="BH30" s="480"/>
      <c r="BI30" s="480"/>
      <c r="BJ30" s="480"/>
      <c r="BK30" s="480"/>
      <c r="BL30" s="480"/>
      <c r="BM30" s="480"/>
      <c r="BN30" s="480"/>
      <c r="BO30" s="480"/>
      <c r="BP30" s="480"/>
      <c r="BQ30" s="480"/>
    </row>
    <row r="31" spans="1:69" s="475" customFormat="1" ht="110.25">
      <c r="A31" s="471" t="s">
        <v>283</v>
      </c>
      <c r="B31" s="489" t="s">
        <v>432</v>
      </c>
      <c r="C31" s="473" t="s">
        <v>585</v>
      </c>
      <c r="D31" s="473" t="s">
        <v>543</v>
      </c>
      <c r="E31" s="437">
        <f t="shared" si="0"/>
        <v>300</v>
      </c>
      <c r="F31" s="437">
        <v>0</v>
      </c>
      <c r="G31" s="437">
        <v>0</v>
      </c>
      <c r="H31" s="438">
        <v>300</v>
      </c>
      <c r="I31" s="437">
        <f t="shared" si="2"/>
        <v>0</v>
      </c>
      <c r="J31" s="437">
        <v>0</v>
      </c>
      <c r="K31" s="439">
        <v>0</v>
      </c>
      <c r="L31" s="437">
        <v>0</v>
      </c>
      <c r="M31" s="474"/>
      <c r="N31" s="474"/>
      <c r="O31" s="474"/>
      <c r="P31" s="474"/>
      <c r="Q31" s="474"/>
      <c r="R31" s="474"/>
      <c r="S31" s="474"/>
      <c r="T31" s="474"/>
      <c r="U31" s="474"/>
      <c r="V31" s="474"/>
      <c r="W31" s="474"/>
      <c r="X31" s="474"/>
      <c r="Y31" s="474"/>
      <c r="Z31" s="474"/>
      <c r="AA31" s="474"/>
      <c r="AB31" s="474"/>
      <c r="AC31" s="474"/>
      <c r="AD31" s="474"/>
      <c r="AE31" s="474"/>
      <c r="AF31" s="474"/>
      <c r="AG31" s="474"/>
      <c r="AH31" s="474"/>
      <c r="AI31" s="474"/>
      <c r="AJ31" s="474"/>
      <c r="AK31" s="474"/>
      <c r="AL31" s="474"/>
      <c r="AM31" s="474"/>
      <c r="AN31" s="474"/>
      <c r="AO31" s="474"/>
      <c r="AP31" s="474"/>
      <c r="AQ31" s="474"/>
      <c r="AR31" s="474"/>
      <c r="AS31" s="474"/>
      <c r="AT31" s="474"/>
      <c r="AU31" s="474"/>
      <c r="AV31" s="474"/>
      <c r="AW31" s="474"/>
      <c r="AX31" s="474"/>
      <c r="AY31" s="474"/>
      <c r="AZ31" s="474"/>
      <c r="BA31" s="474"/>
      <c r="BB31" s="474"/>
      <c r="BC31" s="474"/>
      <c r="BD31" s="474"/>
      <c r="BE31" s="474"/>
      <c r="BF31" s="474"/>
      <c r="BG31" s="474"/>
      <c r="BH31" s="474"/>
      <c r="BI31" s="474"/>
      <c r="BJ31" s="474"/>
      <c r="BK31" s="474"/>
      <c r="BL31" s="474"/>
      <c r="BM31" s="474"/>
      <c r="BN31" s="474"/>
      <c r="BO31" s="474"/>
      <c r="BP31" s="474"/>
      <c r="BQ31" s="474"/>
    </row>
    <row r="32" spans="1:69" s="470" customFormat="1" ht="63">
      <c r="A32" s="464" t="s">
        <v>78</v>
      </c>
      <c r="B32" s="491" t="s">
        <v>77</v>
      </c>
      <c r="C32" s="466"/>
      <c r="D32" s="491"/>
      <c r="E32" s="435">
        <f t="shared" si="0"/>
        <v>7242.68</v>
      </c>
      <c r="F32" s="435">
        <f>F33+F34+F35+F39+F40</f>
        <v>0</v>
      </c>
      <c r="G32" s="435">
        <f>G33+G34+G35+G39+G40</f>
        <v>6080.38</v>
      </c>
      <c r="H32" s="435">
        <f>H33+H34+H35+H39+H40</f>
        <v>1162.3</v>
      </c>
      <c r="I32" s="435">
        <f t="shared" si="2"/>
        <v>1026.9517800000001</v>
      </c>
      <c r="J32" s="435">
        <f>SUM(J33+J34+J35+J39+J40)</f>
        <v>0</v>
      </c>
      <c r="K32" s="435">
        <f>SUM(K33+K34+K35+K39+K40)</f>
        <v>0</v>
      </c>
      <c r="L32" s="435">
        <f>SUM(L33+L34+L35+L39+L40)</f>
        <v>1026.9517800000001</v>
      </c>
      <c r="M32" s="468"/>
      <c r="N32" s="469"/>
      <c r="O32" s="468"/>
      <c r="P32" s="468"/>
      <c r="Q32" s="468"/>
      <c r="R32" s="468"/>
      <c r="S32" s="468"/>
      <c r="T32" s="468"/>
      <c r="U32" s="468"/>
      <c r="V32" s="468"/>
      <c r="W32" s="468"/>
      <c r="X32" s="468"/>
      <c r="Y32" s="468"/>
      <c r="Z32" s="468"/>
      <c r="AA32" s="468"/>
      <c r="AB32" s="468"/>
      <c r="AC32" s="468"/>
      <c r="AD32" s="468"/>
      <c r="AE32" s="468"/>
      <c r="AF32" s="468"/>
      <c r="AG32" s="468"/>
      <c r="AH32" s="468"/>
      <c r="AI32" s="468"/>
      <c r="AJ32" s="468"/>
      <c r="AK32" s="468"/>
      <c r="AL32" s="468"/>
      <c r="AM32" s="468"/>
      <c r="AN32" s="468"/>
      <c r="AO32" s="468"/>
      <c r="AP32" s="468"/>
      <c r="AQ32" s="468"/>
      <c r="AR32" s="468"/>
      <c r="AS32" s="468"/>
      <c r="AT32" s="468"/>
      <c r="AU32" s="468"/>
      <c r="AV32" s="468"/>
      <c r="AW32" s="468"/>
      <c r="AX32" s="468"/>
      <c r="AY32" s="468"/>
      <c r="AZ32" s="468"/>
      <c r="BA32" s="468"/>
      <c r="BB32" s="468"/>
      <c r="BC32" s="468"/>
      <c r="BD32" s="468"/>
      <c r="BE32" s="468"/>
      <c r="BF32" s="468"/>
      <c r="BG32" s="468"/>
      <c r="BH32" s="468"/>
      <c r="BI32" s="468"/>
      <c r="BJ32" s="468"/>
      <c r="BK32" s="468"/>
      <c r="BL32" s="468"/>
      <c r="BM32" s="468"/>
      <c r="BN32" s="468"/>
      <c r="BO32" s="468"/>
      <c r="BP32" s="468"/>
      <c r="BQ32" s="468"/>
    </row>
    <row r="33" spans="1:69" s="475" customFormat="1" ht="63">
      <c r="A33" s="471" t="s">
        <v>296</v>
      </c>
      <c r="B33" s="489" t="s">
        <v>433</v>
      </c>
      <c r="C33" s="473" t="s">
        <v>553</v>
      </c>
      <c r="D33" s="473" t="s">
        <v>543</v>
      </c>
      <c r="E33" s="437">
        <f t="shared" si="0"/>
        <v>6080.38</v>
      </c>
      <c r="F33" s="437">
        <v>0</v>
      </c>
      <c r="G33" s="438">
        <v>6080.38</v>
      </c>
      <c r="H33" s="437">
        <v>0</v>
      </c>
      <c r="I33" s="437">
        <f t="shared" si="2"/>
        <v>138.36407</v>
      </c>
      <c r="J33" s="437">
        <v>0</v>
      </c>
      <c r="K33" s="439">
        <v>0</v>
      </c>
      <c r="L33" s="437">
        <f>133.80651+4.55756</f>
        <v>138.36407</v>
      </c>
      <c r="M33" s="474"/>
      <c r="N33" s="492"/>
      <c r="O33" s="474"/>
      <c r="P33" s="474"/>
      <c r="Q33" s="474"/>
      <c r="R33" s="474"/>
      <c r="S33" s="474"/>
      <c r="T33" s="474"/>
      <c r="U33" s="474"/>
      <c r="V33" s="474"/>
      <c r="W33" s="474"/>
      <c r="X33" s="474"/>
      <c r="Y33" s="474"/>
      <c r="Z33" s="474"/>
      <c r="AA33" s="474"/>
      <c r="AB33" s="474"/>
      <c r="AC33" s="474"/>
      <c r="AD33" s="474"/>
      <c r="AE33" s="474"/>
      <c r="AF33" s="474"/>
      <c r="AG33" s="474"/>
      <c r="AH33" s="474"/>
      <c r="AI33" s="474"/>
      <c r="AJ33" s="474"/>
      <c r="AK33" s="474"/>
      <c r="AL33" s="474"/>
      <c r="AM33" s="474"/>
      <c r="AN33" s="474"/>
      <c r="AO33" s="474"/>
      <c r="AP33" s="474"/>
      <c r="AQ33" s="474"/>
      <c r="AR33" s="474"/>
      <c r="AS33" s="474"/>
      <c r="AT33" s="474"/>
      <c r="AU33" s="474"/>
      <c r="AV33" s="474"/>
      <c r="AW33" s="474"/>
      <c r="AX33" s="474"/>
      <c r="AY33" s="474"/>
      <c r="AZ33" s="474"/>
      <c r="BA33" s="474"/>
      <c r="BB33" s="474"/>
      <c r="BC33" s="474"/>
      <c r="BD33" s="474"/>
      <c r="BE33" s="474"/>
      <c r="BF33" s="474"/>
      <c r="BG33" s="474"/>
      <c r="BH33" s="474"/>
      <c r="BI33" s="474"/>
      <c r="BJ33" s="474"/>
      <c r="BK33" s="474"/>
      <c r="BL33" s="474"/>
      <c r="BM33" s="474"/>
      <c r="BN33" s="474"/>
      <c r="BO33" s="474"/>
      <c r="BP33" s="474"/>
      <c r="BQ33" s="474"/>
    </row>
    <row r="34" spans="1:69" s="475" customFormat="1" ht="84" customHeight="1">
      <c r="A34" s="471" t="s">
        <v>297</v>
      </c>
      <c r="B34" s="489" t="s">
        <v>554</v>
      </c>
      <c r="C34" s="473" t="s">
        <v>62</v>
      </c>
      <c r="D34" s="473" t="s">
        <v>543</v>
      </c>
      <c r="E34" s="437">
        <f t="shared" si="0"/>
        <v>0</v>
      </c>
      <c r="F34" s="437">
        <v>0</v>
      </c>
      <c r="G34" s="437">
        <v>0</v>
      </c>
      <c r="H34" s="437">
        <v>0</v>
      </c>
      <c r="I34" s="437">
        <f t="shared" si="2"/>
        <v>0</v>
      </c>
      <c r="J34" s="437">
        <v>0</v>
      </c>
      <c r="K34" s="439">
        <v>0</v>
      </c>
      <c r="L34" s="437">
        <v>0</v>
      </c>
      <c r="M34" s="474"/>
      <c r="N34" s="492"/>
      <c r="O34" s="474"/>
      <c r="P34" s="474"/>
      <c r="Q34" s="474"/>
      <c r="R34" s="474"/>
      <c r="S34" s="474"/>
      <c r="T34" s="474"/>
      <c r="U34" s="474"/>
      <c r="V34" s="474"/>
      <c r="W34" s="474"/>
      <c r="X34" s="474"/>
      <c r="Y34" s="474"/>
      <c r="Z34" s="474"/>
      <c r="AA34" s="474"/>
      <c r="AB34" s="474"/>
      <c r="AC34" s="474"/>
      <c r="AD34" s="474"/>
      <c r="AE34" s="474"/>
      <c r="AF34" s="474"/>
      <c r="AG34" s="474"/>
      <c r="AH34" s="474"/>
      <c r="AI34" s="474"/>
      <c r="AJ34" s="474"/>
      <c r="AK34" s="474"/>
      <c r="AL34" s="474"/>
      <c r="AM34" s="474"/>
      <c r="AN34" s="474"/>
      <c r="AO34" s="474"/>
      <c r="AP34" s="474"/>
      <c r="AQ34" s="474"/>
      <c r="AR34" s="474"/>
      <c r="AS34" s="474"/>
      <c r="AT34" s="474"/>
      <c r="AU34" s="474"/>
      <c r="AV34" s="474"/>
      <c r="AW34" s="474"/>
      <c r="AX34" s="474"/>
      <c r="AY34" s="474"/>
      <c r="AZ34" s="474"/>
      <c r="BA34" s="474"/>
      <c r="BB34" s="474"/>
      <c r="BC34" s="474"/>
      <c r="BD34" s="474"/>
      <c r="BE34" s="474"/>
      <c r="BF34" s="474"/>
      <c r="BG34" s="474"/>
      <c r="BH34" s="474"/>
      <c r="BI34" s="474"/>
      <c r="BJ34" s="474"/>
      <c r="BK34" s="474"/>
      <c r="BL34" s="474"/>
      <c r="BM34" s="474"/>
      <c r="BN34" s="474"/>
      <c r="BO34" s="474"/>
      <c r="BP34" s="474"/>
      <c r="BQ34" s="474"/>
    </row>
    <row r="35" spans="1:69" s="475" customFormat="1" ht="78.75">
      <c r="A35" s="471" t="s">
        <v>298</v>
      </c>
      <c r="B35" s="493" t="s">
        <v>446</v>
      </c>
      <c r="C35" s="473" t="s">
        <v>555</v>
      </c>
      <c r="D35" s="484" t="s">
        <v>543</v>
      </c>
      <c r="E35" s="437">
        <f t="shared" si="0"/>
        <v>1111.3</v>
      </c>
      <c r="F35" s="437">
        <f>SUM(F36:F38)</f>
        <v>0</v>
      </c>
      <c r="G35" s="437">
        <f>SUM(G36:G38)</f>
        <v>0</v>
      </c>
      <c r="H35" s="437">
        <f>SUM(H36:H38)</f>
        <v>1111.3</v>
      </c>
      <c r="I35" s="437">
        <f t="shared" si="2"/>
        <v>888.58771000000002</v>
      </c>
      <c r="J35" s="437">
        <f>SUM(J36:J38)</f>
        <v>0</v>
      </c>
      <c r="K35" s="437">
        <f>SUM(K36:K38)</f>
        <v>0</v>
      </c>
      <c r="L35" s="437">
        <f>SUM(L36:L38)</f>
        <v>888.58771000000002</v>
      </c>
      <c r="M35" s="474"/>
      <c r="N35" s="474"/>
      <c r="O35" s="474"/>
      <c r="P35" s="474"/>
      <c r="Q35" s="474"/>
      <c r="R35" s="474"/>
      <c r="S35" s="474"/>
      <c r="T35" s="474"/>
      <c r="U35" s="474"/>
      <c r="V35" s="474"/>
      <c r="W35" s="474"/>
      <c r="X35" s="474"/>
      <c r="Y35" s="474"/>
      <c r="Z35" s="474"/>
      <c r="AA35" s="474"/>
      <c r="AB35" s="474"/>
      <c r="AC35" s="474"/>
      <c r="AD35" s="474"/>
      <c r="AE35" s="474"/>
      <c r="AF35" s="474"/>
      <c r="AG35" s="474"/>
      <c r="AH35" s="474"/>
      <c r="AI35" s="474"/>
      <c r="AJ35" s="474"/>
      <c r="AK35" s="474"/>
      <c r="AL35" s="474"/>
      <c r="AM35" s="474"/>
      <c r="AN35" s="474"/>
      <c r="AO35" s="474"/>
      <c r="AP35" s="474"/>
      <c r="AQ35" s="474"/>
      <c r="AR35" s="474"/>
      <c r="AS35" s="474"/>
      <c r="AT35" s="474"/>
      <c r="AU35" s="474"/>
      <c r="AV35" s="474"/>
      <c r="AW35" s="474"/>
      <c r="AX35" s="474"/>
      <c r="AY35" s="474"/>
      <c r="AZ35" s="474"/>
      <c r="BA35" s="474"/>
      <c r="BB35" s="474"/>
      <c r="BC35" s="474"/>
      <c r="BD35" s="474"/>
      <c r="BE35" s="474"/>
      <c r="BF35" s="474"/>
      <c r="BG35" s="474"/>
      <c r="BH35" s="474"/>
      <c r="BI35" s="474"/>
      <c r="BJ35" s="474"/>
      <c r="BK35" s="474"/>
      <c r="BL35" s="474"/>
      <c r="BM35" s="474"/>
      <c r="BN35" s="474"/>
      <c r="BO35" s="474"/>
      <c r="BP35" s="474"/>
      <c r="BQ35" s="474"/>
    </row>
    <row r="36" spans="1:69" s="481" customFormat="1" ht="55.5" customHeight="1">
      <c r="A36" s="476"/>
      <c r="B36" s="482" t="s">
        <v>622</v>
      </c>
      <c r="C36" s="478" t="s">
        <v>51</v>
      </c>
      <c r="D36" s="479" t="s">
        <v>543</v>
      </c>
      <c r="E36" s="93">
        <f t="shared" si="0"/>
        <v>672</v>
      </c>
      <c r="F36" s="93">
        <v>0</v>
      </c>
      <c r="G36" s="93">
        <v>0</v>
      </c>
      <c r="H36" s="93">
        <v>672</v>
      </c>
      <c r="I36" s="93">
        <f t="shared" ref="I36:I73" si="3">SUM(J36:L36)</f>
        <v>662.77071000000001</v>
      </c>
      <c r="J36" s="93">
        <v>0</v>
      </c>
      <c r="K36" s="313">
        <v>0</v>
      </c>
      <c r="L36" s="93">
        <v>662.77071000000001</v>
      </c>
      <c r="M36" s="480"/>
      <c r="N36" s="480"/>
      <c r="O36" s="480"/>
      <c r="P36" s="480"/>
      <c r="Q36" s="480"/>
      <c r="R36" s="480"/>
      <c r="S36" s="480"/>
      <c r="T36" s="480"/>
      <c r="U36" s="480"/>
      <c r="V36" s="480"/>
      <c r="W36" s="480"/>
      <c r="X36" s="480"/>
      <c r="Y36" s="480"/>
      <c r="Z36" s="480"/>
      <c r="AA36" s="480"/>
      <c r="AB36" s="480"/>
      <c r="AC36" s="480"/>
      <c r="AD36" s="480"/>
      <c r="AE36" s="480"/>
      <c r="AF36" s="480"/>
      <c r="AG36" s="480"/>
      <c r="AH36" s="480"/>
      <c r="AI36" s="480"/>
      <c r="AJ36" s="480"/>
      <c r="AK36" s="480"/>
      <c r="AL36" s="480"/>
      <c r="AM36" s="480"/>
      <c r="AN36" s="480"/>
      <c r="AO36" s="480"/>
      <c r="AP36" s="480"/>
      <c r="AQ36" s="480"/>
      <c r="AR36" s="480"/>
      <c r="AS36" s="480"/>
      <c r="AT36" s="480"/>
      <c r="AU36" s="480"/>
      <c r="AV36" s="480"/>
      <c r="AW36" s="480"/>
      <c r="AX36" s="480"/>
      <c r="AY36" s="480"/>
      <c r="AZ36" s="480"/>
      <c r="BA36" s="480"/>
      <c r="BB36" s="480"/>
      <c r="BC36" s="480"/>
      <c r="BD36" s="480"/>
      <c r="BE36" s="480"/>
      <c r="BF36" s="480"/>
      <c r="BG36" s="480"/>
      <c r="BH36" s="480"/>
      <c r="BI36" s="480"/>
      <c r="BJ36" s="480"/>
      <c r="BK36" s="480"/>
      <c r="BL36" s="480"/>
      <c r="BM36" s="480"/>
      <c r="BN36" s="480"/>
      <c r="BO36" s="480"/>
      <c r="BP36" s="480"/>
      <c r="BQ36" s="480"/>
    </row>
    <row r="37" spans="1:69" s="481" customFormat="1" ht="51">
      <c r="A37" s="476"/>
      <c r="B37" s="494" t="s">
        <v>623</v>
      </c>
      <c r="C37" s="479" t="s">
        <v>555</v>
      </c>
      <c r="D37" s="479" t="s">
        <v>543</v>
      </c>
      <c r="E37" s="93">
        <f t="shared" si="0"/>
        <v>136.9</v>
      </c>
      <c r="F37" s="93">
        <v>0</v>
      </c>
      <c r="G37" s="93">
        <v>0</v>
      </c>
      <c r="H37" s="399">
        <v>136.9</v>
      </c>
      <c r="I37" s="93">
        <f t="shared" si="3"/>
        <v>0</v>
      </c>
      <c r="J37" s="93">
        <v>0</v>
      </c>
      <c r="K37" s="313">
        <v>0</v>
      </c>
      <c r="L37" s="93">
        <v>0</v>
      </c>
      <c r="M37" s="480"/>
      <c r="N37" s="480"/>
      <c r="O37" s="480"/>
      <c r="P37" s="480"/>
      <c r="Q37" s="480"/>
      <c r="R37" s="480"/>
      <c r="S37" s="480"/>
      <c r="T37" s="480"/>
      <c r="U37" s="480"/>
      <c r="V37" s="480"/>
      <c r="W37" s="480"/>
      <c r="X37" s="480"/>
      <c r="Y37" s="480"/>
      <c r="Z37" s="480"/>
      <c r="AA37" s="480"/>
      <c r="AB37" s="480"/>
      <c r="AC37" s="480"/>
      <c r="AD37" s="480"/>
      <c r="AE37" s="480"/>
      <c r="AF37" s="480"/>
      <c r="AG37" s="480"/>
      <c r="AH37" s="480"/>
      <c r="AI37" s="480"/>
      <c r="AJ37" s="480"/>
      <c r="AK37" s="480"/>
      <c r="AL37" s="480"/>
      <c r="AM37" s="480"/>
      <c r="AN37" s="480"/>
      <c r="AO37" s="480"/>
      <c r="AP37" s="480"/>
      <c r="AQ37" s="480"/>
      <c r="AR37" s="480"/>
      <c r="AS37" s="480"/>
      <c r="AT37" s="480"/>
      <c r="AU37" s="480"/>
      <c r="AV37" s="480"/>
      <c r="AW37" s="480"/>
      <c r="AX37" s="480"/>
      <c r="AY37" s="480"/>
      <c r="AZ37" s="480"/>
      <c r="BA37" s="480"/>
      <c r="BB37" s="480"/>
      <c r="BC37" s="480"/>
      <c r="BD37" s="480"/>
      <c r="BE37" s="480"/>
      <c r="BF37" s="480"/>
      <c r="BG37" s="480"/>
      <c r="BH37" s="480"/>
      <c r="BI37" s="480"/>
      <c r="BJ37" s="480"/>
      <c r="BK37" s="480"/>
      <c r="BL37" s="480"/>
      <c r="BM37" s="480"/>
      <c r="BN37" s="480"/>
      <c r="BO37" s="480"/>
      <c r="BP37" s="480"/>
      <c r="BQ37" s="480"/>
    </row>
    <row r="38" spans="1:69" s="481" customFormat="1" ht="31.5" customHeight="1">
      <c r="A38" s="476"/>
      <c r="B38" s="482" t="s">
        <v>624</v>
      </c>
      <c r="C38" s="479" t="s">
        <v>51</v>
      </c>
      <c r="D38" s="479" t="s">
        <v>543</v>
      </c>
      <c r="E38" s="93">
        <f t="shared" si="0"/>
        <v>302.39999999999998</v>
      </c>
      <c r="F38" s="93">
        <v>0</v>
      </c>
      <c r="G38" s="93">
        <v>0</v>
      </c>
      <c r="H38" s="399">
        <v>302.39999999999998</v>
      </c>
      <c r="I38" s="93">
        <f t="shared" si="3"/>
        <v>225.81700000000001</v>
      </c>
      <c r="J38" s="93">
        <v>0</v>
      </c>
      <c r="K38" s="313">
        <v>0</v>
      </c>
      <c r="L38" s="93">
        <v>225.81700000000001</v>
      </c>
      <c r="M38" s="480"/>
      <c r="N38" s="480"/>
      <c r="O38" s="480"/>
      <c r="P38" s="480"/>
      <c r="Q38" s="480"/>
      <c r="R38" s="480"/>
      <c r="S38" s="480"/>
      <c r="T38" s="480"/>
      <c r="U38" s="480"/>
      <c r="V38" s="480"/>
      <c r="W38" s="480"/>
      <c r="X38" s="480"/>
      <c r="Y38" s="480"/>
      <c r="Z38" s="480"/>
      <c r="AA38" s="480"/>
      <c r="AB38" s="480"/>
      <c r="AC38" s="480"/>
      <c r="AD38" s="480"/>
      <c r="AE38" s="480"/>
      <c r="AF38" s="480"/>
      <c r="AG38" s="480"/>
      <c r="AH38" s="480"/>
      <c r="AI38" s="480"/>
      <c r="AJ38" s="480"/>
      <c r="AK38" s="480"/>
      <c r="AL38" s="480"/>
      <c r="AM38" s="480"/>
      <c r="AN38" s="480"/>
      <c r="AO38" s="480"/>
      <c r="AP38" s="480"/>
      <c r="AQ38" s="480"/>
      <c r="AR38" s="480"/>
      <c r="AS38" s="480"/>
      <c r="AT38" s="480"/>
      <c r="AU38" s="480"/>
      <c r="AV38" s="480"/>
      <c r="AW38" s="480"/>
      <c r="AX38" s="480"/>
      <c r="AY38" s="480"/>
      <c r="AZ38" s="480"/>
      <c r="BA38" s="480"/>
      <c r="BB38" s="480"/>
      <c r="BC38" s="480"/>
      <c r="BD38" s="480"/>
      <c r="BE38" s="480"/>
      <c r="BF38" s="480"/>
      <c r="BG38" s="480"/>
      <c r="BH38" s="480"/>
      <c r="BI38" s="480"/>
      <c r="BJ38" s="480"/>
      <c r="BK38" s="480"/>
      <c r="BL38" s="480"/>
      <c r="BM38" s="480"/>
      <c r="BN38" s="480"/>
      <c r="BO38" s="480"/>
      <c r="BP38" s="480"/>
      <c r="BQ38" s="480"/>
    </row>
    <row r="39" spans="1:69" s="475" customFormat="1" ht="47.25">
      <c r="A39" s="471" t="s">
        <v>299</v>
      </c>
      <c r="B39" s="472" t="s">
        <v>556</v>
      </c>
      <c r="C39" s="484" t="s">
        <v>62</v>
      </c>
      <c r="D39" s="484" t="s">
        <v>543</v>
      </c>
      <c r="E39" s="437">
        <f t="shared" si="0"/>
        <v>0</v>
      </c>
      <c r="F39" s="437">
        <v>0</v>
      </c>
      <c r="G39" s="437">
        <v>0</v>
      </c>
      <c r="H39" s="437">
        <v>0</v>
      </c>
      <c r="I39" s="437">
        <f t="shared" si="3"/>
        <v>0</v>
      </c>
      <c r="J39" s="437">
        <v>0</v>
      </c>
      <c r="K39" s="439">
        <v>0</v>
      </c>
      <c r="L39" s="437">
        <v>0</v>
      </c>
      <c r="M39" s="474"/>
      <c r="N39" s="474"/>
      <c r="O39" s="474"/>
      <c r="P39" s="474"/>
      <c r="Q39" s="474"/>
      <c r="R39" s="474"/>
      <c r="S39" s="474"/>
      <c r="T39" s="474"/>
      <c r="U39" s="474"/>
      <c r="V39" s="474"/>
      <c r="W39" s="474"/>
      <c r="X39" s="474"/>
      <c r="Y39" s="474"/>
      <c r="Z39" s="474"/>
      <c r="AA39" s="474"/>
      <c r="AB39" s="474"/>
      <c r="AC39" s="474"/>
      <c r="AD39" s="474"/>
      <c r="AE39" s="474"/>
      <c r="AF39" s="474"/>
      <c r="AG39" s="474"/>
      <c r="AH39" s="474"/>
      <c r="AI39" s="474"/>
      <c r="AJ39" s="474"/>
      <c r="AK39" s="474"/>
      <c r="AL39" s="474"/>
      <c r="AM39" s="474"/>
      <c r="AN39" s="474"/>
      <c r="AO39" s="474"/>
      <c r="AP39" s="474"/>
      <c r="AQ39" s="474"/>
      <c r="AR39" s="474"/>
      <c r="AS39" s="474"/>
      <c r="AT39" s="474"/>
      <c r="AU39" s="474"/>
      <c r="AV39" s="474"/>
      <c r="AW39" s="474"/>
      <c r="AX39" s="474"/>
      <c r="AY39" s="474"/>
      <c r="AZ39" s="474"/>
      <c r="BA39" s="474"/>
      <c r="BB39" s="474"/>
      <c r="BC39" s="474"/>
      <c r="BD39" s="474"/>
      <c r="BE39" s="474"/>
      <c r="BF39" s="474"/>
      <c r="BG39" s="474"/>
      <c r="BH39" s="474"/>
      <c r="BI39" s="474"/>
      <c r="BJ39" s="474"/>
      <c r="BK39" s="474"/>
      <c r="BL39" s="474"/>
      <c r="BM39" s="474"/>
      <c r="BN39" s="474"/>
      <c r="BO39" s="474"/>
      <c r="BP39" s="474"/>
      <c r="BQ39" s="474"/>
    </row>
    <row r="40" spans="1:69" s="475" customFormat="1" ht="67.5" customHeight="1">
      <c r="A40" s="495" t="s">
        <v>306</v>
      </c>
      <c r="B40" s="496" t="s">
        <v>557</v>
      </c>
      <c r="C40" s="473" t="s">
        <v>555</v>
      </c>
      <c r="D40" s="484" t="s">
        <v>543</v>
      </c>
      <c r="E40" s="438">
        <f>SUM(F40:H40)</f>
        <v>51</v>
      </c>
      <c r="F40" s="438">
        <f>F41+F42</f>
        <v>0</v>
      </c>
      <c r="G40" s="438">
        <f>G41+G42</f>
        <v>0</v>
      </c>
      <c r="H40" s="438">
        <f>H41+H42</f>
        <v>51</v>
      </c>
      <c r="I40" s="437">
        <f t="shared" si="3"/>
        <v>0</v>
      </c>
      <c r="J40" s="438">
        <f>SUM(J41:J42)</f>
        <v>0</v>
      </c>
      <c r="K40" s="438">
        <v>0</v>
      </c>
      <c r="L40" s="438">
        <v>0</v>
      </c>
      <c r="M40" s="474"/>
      <c r="N40" s="474"/>
      <c r="O40" s="474"/>
      <c r="P40" s="474"/>
      <c r="Q40" s="474"/>
      <c r="R40" s="474"/>
      <c r="S40" s="474"/>
      <c r="T40" s="474"/>
      <c r="U40" s="474"/>
      <c r="V40" s="474"/>
      <c r="W40" s="474"/>
      <c r="X40" s="474"/>
      <c r="Y40" s="474"/>
      <c r="Z40" s="474"/>
      <c r="AA40" s="474"/>
      <c r="AB40" s="474"/>
      <c r="AC40" s="474"/>
      <c r="AD40" s="474"/>
      <c r="AE40" s="474"/>
      <c r="AF40" s="474"/>
      <c r="AG40" s="474"/>
      <c r="AH40" s="474"/>
      <c r="AI40" s="474"/>
      <c r="AJ40" s="474"/>
      <c r="AK40" s="474"/>
      <c r="AL40" s="474"/>
      <c r="AM40" s="474"/>
      <c r="AN40" s="474"/>
      <c r="AO40" s="474"/>
      <c r="AP40" s="474"/>
      <c r="AQ40" s="474"/>
      <c r="AR40" s="474"/>
      <c r="AS40" s="474"/>
      <c r="AT40" s="474"/>
      <c r="AU40" s="474"/>
      <c r="AV40" s="474"/>
      <c r="AW40" s="474"/>
      <c r="AX40" s="474"/>
      <c r="AY40" s="474"/>
      <c r="AZ40" s="474"/>
      <c r="BA40" s="474"/>
      <c r="BB40" s="474"/>
      <c r="BC40" s="474"/>
      <c r="BD40" s="474"/>
      <c r="BE40" s="474"/>
      <c r="BF40" s="474"/>
      <c r="BG40" s="474"/>
      <c r="BH40" s="474"/>
      <c r="BI40" s="474"/>
      <c r="BJ40" s="474"/>
      <c r="BK40" s="474"/>
      <c r="BL40" s="474"/>
      <c r="BM40" s="474"/>
      <c r="BN40" s="474"/>
      <c r="BO40" s="474"/>
      <c r="BP40" s="474"/>
      <c r="BQ40" s="474"/>
    </row>
    <row r="41" spans="1:69" s="482" customFormat="1" ht="18" customHeight="1">
      <c r="A41" s="476"/>
      <c r="B41" s="482" t="s">
        <v>625</v>
      </c>
      <c r="C41" s="478" t="s">
        <v>59</v>
      </c>
      <c r="D41" s="478" t="s">
        <v>543</v>
      </c>
      <c r="E41" s="93">
        <f t="shared" si="0"/>
        <v>0</v>
      </c>
      <c r="F41" s="93">
        <v>0</v>
      </c>
      <c r="G41" s="93"/>
      <c r="H41" s="93">
        <v>0</v>
      </c>
      <c r="I41" s="93">
        <f t="shared" si="3"/>
        <v>0</v>
      </c>
      <c r="J41" s="93">
        <v>0</v>
      </c>
      <c r="K41" s="313">
        <v>0</v>
      </c>
      <c r="L41" s="93">
        <v>0</v>
      </c>
      <c r="M41" s="497"/>
      <c r="N41" s="498"/>
      <c r="O41" s="480"/>
      <c r="P41" s="480"/>
      <c r="Q41" s="480"/>
      <c r="R41" s="480"/>
      <c r="S41" s="480"/>
      <c r="T41" s="480"/>
      <c r="U41" s="480"/>
      <c r="V41" s="480"/>
      <c r="W41" s="480"/>
      <c r="X41" s="480"/>
      <c r="Y41" s="480"/>
      <c r="Z41" s="480"/>
      <c r="AA41" s="480"/>
      <c r="AB41" s="480"/>
      <c r="AC41" s="480"/>
      <c r="AD41" s="480"/>
      <c r="AE41" s="480"/>
      <c r="AF41" s="480"/>
      <c r="AG41" s="480"/>
      <c r="AH41" s="480"/>
      <c r="AI41" s="480"/>
      <c r="AJ41" s="480"/>
      <c r="AK41" s="480"/>
      <c r="AL41" s="480"/>
      <c r="AM41" s="480"/>
      <c r="AN41" s="480"/>
      <c r="AO41" s="480"/>
      <c r="AP41" s="480"/>
      <c r="AQ41" s="480"/>
      <c r="AR41" s="480"/>
      <c r="AS41" s="480"/>
      <c r="AT41" s="480"/>
      <c r="AU41" s="480"/>
      <c r="AV41" s="480"/>
      <c r="AW41" s="480"/>
      <c r="AX41" s="480"/>
      <c r="AY41" s="480"/>
      <c r="AZ41" s="480"/>
      <c r="BA41" s="480"/>
      <c r="BB41" s="480"/>
      <c r="BC41" s="480"/>
      <c r="BD41" s="480"/>
      <c r="BE41" s="480"/>
      <c r="BF41" s="480"/>
      <c r="BG41" s="480"/>
      <c r="BH41" s="480"/>
      <c r="BI41" s="480"/>
      <c r="BJ41" s="480"/>
      <c r="BK41" s="480"/>
      <c r="BL41" s="480"/>
      <c r="BM41" s="480"/>
      <c r="BN41" s="480"/>
      <c r="BO41" s="480"/>
      <c r="BP41" s="480"/>
      <c r="BQ41" s="480"/>
    </row>
    <row r="42" spans="1:69" s="482" customFormat="1" ht="27.75" customHeight="1">
      <c r="A42" s="476"/>
      <c r="B42" s="482" t="s">
        <v>626</v>
      </c>
      <c r="C42" s="478" t="s">
        <v>558</v>
      </c>
      <c r="D42" s="478" t="s">
        <v>543</v>
      </c>
      <c r="E42" s="93">
        <f t="shared" si="0"/>
        <v>51</v>
      </c>
      <c r="F42" s="93">
        <v>0</v>
      </c>
      <c r="G42" s="93">
        <v>0</v>
      </c>
      <c r="H42" s="93">
        <v>51</v>
      </c>
      <c r="I42" s="93">
        <f t="shared" si="3"/>
        <v>0</v>
      </c>
      <c r="J42" s="93">
        <v>0</v>
      </c>
      <c r="K42" s="313">
        <v>0</v>
      </c>
      <c r="L42" s="93">
        <v>0</v>
      </c>
      <c r="M42" s="480"/>
      <c r="N42" s="498"/>
      <c r="O42" s="480"/>
      <c r="P42" s="480"/>
      <c r="Q42" s="480"/>
      <c r="R42" s="480"/>
      <c r="S42" s="480"/>
      <c r="T42" s="480"/>
      <c r="U42" s="480"/>
      <c r="V42" s="480"/>
      <c r="W42" s="480"/>
      <c r="X42" s="480"/>
      <c r="Y42" s="480"/>
      <c r="Z42" s="480"/>
      <c r="AA42" s="480"/>
      <c r="AB42" s="480"/>
      <c r="AC42" s="480"/>
      <c r="AD42" s="480"/>
      <c r="AE42" s="480"/>
      <c r="AF42" s="480"/>
      <c r="AG42" s="480"/>
      <c r="AH42" s="480"/>
      <c r="AI42" s="480"/>
      <c r="AJ42" s="480"/>
      <c r="AK42" s="480"/>
      <c r="AL42" s="480"/>
      <c r="AM42" s="480"/>
      <c r="AN42" s="480"/>
      <c r="AO42" s="480"/>
      <c r="AP42" s="480"/>
      <c r="AQ42" s="480"/>
      <c r="AR42" s="480"/>
      <c r="AS42" s="480"/>
      <c r="AT42" s="480"/>
      <c r="AU42" s="480"/>
      <c r="AV42" s="480"/>
      <c r="AW42" s="480"/>
      <c r="AX42" s="480"/>
      <c r="AY42" s="480"/>
      <c r="AZ42" s="480"/>
      <c r="BA42" s="480"/>
      <c r="BB42" s="480"/>
      <c r="BC42" s="480"/>
      <c r="BD42" s="480"/>
      <c r="BE42" s="480"/>
      <c r="BF42" s="480"/>
      <c r="BG42" s="480"/>
      <c r="BH42" s="480"/>
      <c r="BI42" s="480"/>
      <c r="BJ42" s="480"/>
      <c r="BK42" s="480"/>
      <c r="BL42" s="480"/>
      <c r="BM42" s="480"/>
      <c r="BN42" s="480"/>
      <c r="BO42" s="480"/>
      <c r="BP42" s="480"/>
      <c r="BQ42" s="480"/>
    </row>
    <row r="43" spans="1:69" s="470" customFormat="1" ht="47.25">
      <c r="A43" s="499" t="s">
        <v>559</v>
      </c>
      <c r="B43" s="500" t="s">
        <v>561</v>
      </c>
      <c r="C43" s="501"/>
      <c r="D43" s="501"/>
      <c r="E43" s="435">
        <f t="shared" si="0"/>
        <v>22323.351310000002</v>
      </c>
      <c r="F43" s="435">
        <f>F44+F50+F51+F57+F63</f>
        <v>830.95</v>
      </c>
      <c r="G43" s="435">
        <f>G44+G50+G51+G57+G63</f>
        <v>8354.9013100000011</v>
      </c>
      <c r="H43" s="435">
        <f>H44+H50+H51+H57+H63</f>
        <v>13137.5</v>
      </c>
      <c r="I43" s="440">
        <f t="shared" si="3"/>
        <v>5229.8878199999999</v>
      </c>
      <c r="J43" s="440">
        <f>J44+J50+J51+J57+J63</f>
        <v>4039.21009</v>
      </c>
      <c r="K43" s="440">
        <f>K44+K50+K51+K57+K63</f>
        <v>0</v>
      </c>
      <c r="L43" s="440">
        <f>L44+L50+L51+L57+L63</f>
        <v>1190.6777299999999</v>
      </c>
      <c r="M43" s="468"/>
      <c r="N43" s="469"/>
      <c r="O43" s="468"/>
      <c r="P43" s="468"/>
      <c r="Q43" s="468"/>
      <c r="R43" s="468"/>
      <c r="S43" s="468"/>
      <c r="T43" s="468"/>
      <c r="U43" s="468"/>
      <c r="V43" s="468"/>
      <c r="W43" s="468"/>
      <c r="X43" s="468"/>
      <c r="Y43" s="468"/>
      <c r="Z43" s="468"/>
      <c r="AA43" s="468"/>
      <c r="AB43" s="468"/>
      <c r="AC43" s="468"/>
      <c r="AD43" s="468"/>
      <c r="AE43" s="468"/>
      <c r="AF43" s="468"/>
      <c r="AG43" s="468"/>
      <c r="AH43" s="468"/>
      <c r="AI43" s="468"/>
      <c r="AJ43" s="468"/>
      <c r="AK43" s="468"/>
      <c r="AL43" s="468"/>
      <c r="AM43" s="468"/>
      <c r="AN43" s="468"/>
      <c r="AO43" s="468"/>
      <c r="AP43" s="468"/>
      <c r="AQ43" s="468"/>
      <c r="AR43" s="468"/>
      <c r="AS43" s="468"/>
      <c r="AT43" s="468"/>
      <c r="AU43" s="468"/>
      <c r="AV43" s="468"/>
      <c r="AW43" s="468"/>
      <c r="AX43" s="468"/>
      <c r="AY43" s="468"/>
      <c r="AZ43" s="468"/>
      <c r="BA43" s="468"/>
      <c r="BB43" s="468"/>
      <c r="BC43" s="468"/>
      <c r="BD43" s="468"/>
      <c r="BE43" s="468"/>
      <c r="BF43" s="468"/>
      <c r="BG43" s="468"/>
      <c r="BH43" s="468"/>
      <c r="BI43" s="468"/>
      <c r="BJ43" s="468"/>
      <c r="BK43" s="468"/>
      <c r="BL43" s="468"/>
      <c r="BM43" s="468"/>
      <c r="BN43" s="468"/>
      <c r="BO43" s="468"/>
      <c r="BP43" s="468"/>
      <c r="BQ43" s="468"/>
    </row>
    <row r="44" spans="1:69" s="475" customFormat="1" ht="122.25" customHeight="1">
      <c r="A44" s="471" t="s">
        <v>562</v>
      </c>
      <c r="B44" s="472" t="s">
        <v>455</v>
      </c>
      <c r="C44" s="473" t="s">
        <v>59</v>
      </c>
      <c r="D44" s="473" t="s">
        <v>543</v>
      </c>
      <c r="E44" s="437">
        <f t="shared" si="0"/>
        <v>14609.7448</v>
      </c>
      <c r="F44" s="437">
        <f>SUM(F45:F49)</f>
        <v>830.95</v>
      </c>
      <c r="G44" s="437">
        <f>SUM(G45:G49)</f>
        <v>878.79480000000001</v>
      </c>
      <c r="H44" s="437">
        <f>SUM(H45:H49)</f>
        <v>12900</v>
      </c>
      <c r="I44" s="437">
        <f t="shared" si="3"/>
        <v>4803.2470199999998</v>
      </c>
      <c r="J44" s="437">
        <f>SUM(J45:J49)</f>
        <v>3986.8470200000002</v>
      </c>
      <c r="K44" s="437">
        <f>SUM(K45:K49)</f>
        <v>0</v>
      </c>
      <c r="L44" s="437">
        <f>SUM(L45:L49)</f>
        <v>816.4</v>
      </c>
      <c r="M44" s="474"/>
      <c r="N44" s="492"/>
      <c r="O44" s="474"/>
      <c r="P44" s="474"/>
      <c r="Q44" s="474"/>
      <c r="R44" s="474"/>
      <c r="S44" s="474"/>
      <c r="T44" s="474"/>
      <c r="U44" s="474"/>
      <c r="V44" s="474"/>
      <c r="W44" s="474"/>
      <c r="X44" s="474"/>
      <c r="Y44" s="474"/>
      <c r="Z44" s="474"/>
      <c r="AA44" s="474"/>
      <c r="AB44" s="474"/>
      <c r="AC44" s="474"/>
      <c r="AD44" s="474"/>
      <c r="AE44" s="474"/>
      <c r="AF44" s="474"/>
      <c r="AG44" s="474"/>
      <c r="AH44" s="474"/>
      <c r="AI44" s="474"/>
      <c r="AJ44" s="474"/>
      <c r="AK44" s="474"/>
      <c r="AL44" s="474"/>
      <c r="AM44" s="474"/>
      <c r="AN44" s="474"/>
      <c r="AO44" s="474"/>
      <c r="AP44" s="474"/>
      <c r="AQ44" s="474"/>
      <c r="AR44" s="474"/>
      <c r="AS44" s="474"/>
      <c r="AT44" s="474"/>
      <c r="AU44" s="474"/>
      <c r="AV44" s="474"/>
      <c r="AW44" s="474"/>
      <c r="AX44" s="474"/>
      <c r="AY44" s="474"/>
      <c r="AZ44" s="474"/>
      <c r="BA44" s="474"/>
      <c r="BB44" s="474"/>
      <c r="BC44" s="474"/>
      <c r="BD44" s="474"/>
      <c r="BE44" s="474"/>
      <c r="BF44" s="474"/>
      <c r="BG44" s="474"/>
      <c r="BH44" s="474"/>
      <c r="BI44" s="474"/>
      <c r="BJ44" s="474"/>
      <c r="BK44" s="474"/>
      <c r="BL44" s="474"/>
      <c r="BM44" s="474"/>
      <c r="BN44" s="474"/>
      <c r="BO44" s="474"/>
      <c r="BP44" s="474"/>
      <c r="BQ44" s="474"/>
    </row>
    <row r="45" spans="1:69" s="481" customFormat="1" ht="40.5" customHeight="1">
      <c r="A45" s="476"/>
      <c r="B45" s="502" t="s">
        <v>627</v>
      </c>
      <c r="C45" s="477" t="s">
        <v>59</v>
      </c>
      <c r="D45" s="478" t="s">
        <v>543</v>
      </c>
      <c r="E45" s="93">
        <f t="shared" si="0"/>
        <v>1709.7447999999999</v>
      </c>
      <c r="F45" s="93">
        <v>830.95</v>
      </c>
      <c r="G45" s="93">
        <v>878.79480000000001</v>
      </c>
      <c r="H45" s="93">
        <v>0</v>
      </c>
      <c r="I45" s="93">
        <f t="shared" si="3"/>
        <v>3986.8470200000002</v>
      </c>
      <c r="J45" s="93">
        <f>3664.6903+322.15672</f>
        <v>3986.8470200000002</v>
      </c>
      <c r="K45" s="313">
        <v>0</v>
      </c>
      <c r="L45" s="93">
        <v>0</v>
      </c>
      <c r="M45" s="480"/>
      <c r="N45" s="480"/>
      <c r="O45" s="480"/>
      <c r="P45" s="480"/>
      <c r="Q45" s="480"/>
      <c r="R45" s="480"/>
      <c r="S45" s="480"/>
      <c r="T45" s="480"/>
      <c r="U45" s="480"/>
      <c r="V45" s="480"/>
      <c r="W45" s="480"/>
      <c r="X45" s="480"/>
      <c r="Y45" s="480"/>
      <c r="Z45" s="480"/>
      <c r="AA45" s="480"/>
      <c r="AB45" s="480"/>
      <c r="AC45" s="480"/>
      <c r="AD45" s="480"/>
      <c r="AE45" s="480"/>
      <c r="AF45" s="480"/>
      <c r="AG45" s="480"/>
      <c r="AH45" s="480"/>
      <c r="AI45" s="480"/>
      <c r="AJ45" s="480"/>
      <c r="AK45" s="480"/>
      <c r="AL45" s="480"/>
      <c r="AM45" s="480"/>
      <c r="AN45" s="480"/>
      <c r="AO45" s="480"/>
      <c r="AP45" s="480"/>
      <c r="AQ45" s="480"/>
      <c r="AR45" s="480"/>
      <c r="AS45" s="480"/>
      <c r="AT45" s="480"/>
      <c r="AU45" s="480"/>
      <c r="AV45" s="480"/>
      <c r="AW45" s="480"/>
      <c r="AX45" s="480"/>
      <c r="AY45" s="480"/>
      <c r="AZ45" s="480"/>
      <c r="BA45" s="480"/>
      <c r="BB45" s="480"/>
      <c r="BC45" s="480"/>
      <c r="BD45" s="480"/>
      <c r="BE45" s="480"/>
      <c r="BF45" s="480"/>
      <c r="BG45" s="480"/>
      <c r="BH45" s="480"/>
      <c r="BI45" s="480"/>
      <c r="BJ45" s="480"/>
      <c r="BK45" s="480"/>
      <c r="BL45" s="480"/>
      <c r="BM45" s="480"/>
      <c r="BN45" s="480"/>
      <c r="BO45" s="480"/>
      <c r="BP45" s="480"/>
      <c r="BQ45" s="480"/>
    </row>
    <row r="46" spans="1:69" s="463" customFormat="1" ht="42.75" customHeight="1">
      <c r="A46" s="379"/>
      <c r="B46" s="502" t="s">
        <v>628</v>
      </c>
      <c r="C46" s="477" t="s">
        <v>59</v>
      </c>
      <c r="D46" s="478" t="s">
        <v>543</v>
      </c>
      <c r="E46" s="93">
        <f t="shared" si="0"/>
        <v>0</v>
      </c>
      <c r="F46" s="93">
        <v>0</v>
      </c>
      <c r="G46" s="93">
        <v>0</v>
      </c>
      <c r="H46" s="93">
        <v>0</v>
      </c>
      <c r="I46" s="93">
        <f t="shared" si="3"/>
        <v>0</v>
      </c>
      <c r="J46" s="93">
        <v>0</v>
      </c>
      <c r="K46" s="313">
        <v>0</v>
      </c>
      <c r="L46" s="93">
        <v>0</v>
      </c>
      <c r="M46" s="462"/>
      <c r="N46" s="462"/>
      <c r="O46" s="462"/>
      <c r="P46" s="462"/>
      <c r="Q46" s="462"/>
      <c r="R46" s="462"/>
      <c r="S46" s="462"/>
      <c r="T46" s="462"/>
      <c r="U46" s="462"/>
      <c r="V46" s="462"/>
      <c r="W46" s="462"/>
      <c r="X46" s="462"/>
      <c r="Y46" s="462"/>
      <c r="Z46" s="462"/>
      <c r="AA46" s="462"/>
      <c r="AB46" s="462"/>
      <c r="AC46" s="462"/>
      <c r="AD46" s="462"/>
      <c r="AE46" s="462"/>
      <c r="AF46" s="462"/>
      <c r="AG46" s="462"/>
      <c r="AH46" s="462"/>
      <c r="AI46" s="462"/>
      <c r="AJ46" s="462"/>
      <c r="AK46" s="462"/>
      <c r="AL46" s="462"/>
      <c r="AM46" s="462"/>
      <c r="AN46" s="462"/>
      <c r="AO46" s="462"/>
      <c r="AP46" s="462"/>
      <c r="AQ46" s="462"/>
      <c r="AR46" s="462"/>
      <c r="AS46" s="462"/>
      <c r="AT46" s="462"/>
      <c r="AU46" s="462"/>
      <c r="AV46" s="462"/>
      <c r="AW46" s="462"/>
      <c r="AX46" s="462"/>
      <c r="AY46" s="462"/>
      <c r="AZ46" s="462"/>
      <c r="BA46" s="462"/>
      <c r="BB46" s="462"/>
      <c r="BC46" s="462"/>
      <c r="BD46" s="462"/>
      <c r="BE46" s="462"/>
      <c r="BF46" s="462"/>
      <c r="BG46" s="462"/>
      <c r="BH46" s="462"/>
      <c r="BI46" s="462"/>
      <c r="BJ46" s="462"/>
      <c r="BK46" s="462"/>
      <c r="BL46" s="462"/>
      <c r="BM46" s="462"/>
      <c r="BN46" s="462"/>
      <c r="BO46" s="462"/>
      <c r="BP46" s="462"/>
      <c r="BQ46" s="462"/>
    </row>
    <row r="47" spans="1:69" s="463" customFormat="1" ht="29.25" customHeight="1">
      <c r="A47" s="461"/>
      <c r="B47" s="502" t="s">
        <v>629</v>
      </c>
      <c r="C47" s="477" t="s">
        <v>59</v>
      </c>
      <c r="D47" s="478" t="s">
        <v>543</v>
      </c>
      <c r="E47" s="93">
        <f t="shared" si="0"/>
        <v>0</v>
      </c>
      <c r="F47" s="93">
        <v>0</v>
      </c>
      <c r="G47" s="93">
        <v>0</v>
      </c>
      <c r="H47" s="93">
        <v>0</v>
      </c>
      <c r="I47" s="93">
        <f t="shared" si="3"/>
        <v>0</v>
      </c>
      <c r="J47" s="93">
        <v>0</v>
      </c>
      <c r="K47" s="313">
        <v>0</v>
      </c>
      <c r="L47" s="93">
        <v>0</v>
      </c>
      <c r="M47" s="462"/>
      <c r="N47" s="462"/>
      <c r="O47" s="462"/>
      <c r="P47" s="462"/>
      <c r="Q47" s="462"/>
      <c r="R47" s="462"/>
      <c r="S47" s="462"/>
      <c r="T47" s="462"/>
      <c r="U47" s="462"/>
      <c r="V47" s="462"/>
      <c r="W47" s="462"/>
      <c r="X47" s="462"/>
      <c r="Y47" s="462"/>
      <c r="Z47" s="462"/>
      <c r="AA47" s="462"/>
      <c r="AB47" s="462"/>
      <c r="AC47" s="462"/>
      <c r="AD47" s="462"/>
      <c r="AE47" s="462"/>
      <c r="AF47" s="462"/>
      <c r="AG47" s="462"/>
      <c r="AH47" s="462"/>
      <c r="AI47" s="462"/>
      <c r="AJ47" s="462"/>
      <c r="AK47" s="462"/>
      <c r="AL47" s="462"/>
      <c r="AM47" s="462"/>
      <c r="AN47" s="462"/>
      <c r="AO47" s="462"/>
      <c r="AP47" s="462"/>
      <c r="AQ47" s="462"/>
      <c r="AR47" s="462"/>
      <c r="AS47" s="462"/>
      <c r="AT47" s="462"/>
      <c r="AU47" s="462"/>
      <c r="AV47" s="462"/>
      <c r="AW47" s="462"/>
      <c r="AX47" s="462"/>
      <c r="AY47" s="462"/>
      <c r="AZ47" s="462"/>
      <c r="BA47" s="462"/>
      <c r="BB47" s="462"/>
      <c r="BC47" s="462"/>
      <c r="BD47" s="462"/>
      <c r="BE47" s="462"/>
      <c r="BF47" s="462"/>
      <c r="BG47" s="462"/>
      <c r="BH47" s="462"/>
      <c r="BI47" s="462"/>
      <c r="BJ47" s="462"/>
      <c r="BK47" s="462"/>
      <c r="BL47" s="462"/>
      <c r="BM47" s="462"/>
      <c r="BN47" s="462"/>
      <c r="BO47" s="462"/>
      <c r="BP47" s="462"/>
      <c r="BQ47" s="462"/>
    </row>
    <row r="48" spans="1:69" s="463" customFormat="1" ht="80.25" customHeight="1">
      <c r="A48" s="461"/>
      <c r="B48" s="502" t="s">
        <v>630</v>
      </c>
      <c r="C48" s="503" t="s">
        <v>560</v>
      </c>
      <c r="D48" s="478" t="s">
        <v>543</v>
      </c>
      <c r="E48" s="93">
        <f t="shared" si="0"/>
        <v>12900</v>
      </c>
      <c r="F48" s="93">
        <v>0</v>
      </c>
      <c r="G48" s="93">
        <v>0</v>
      </c>
      <c r="H48" s="93">
        <v>12900</v>
      </c>
      <c r="I48" s="93">
        <f t="shared" si="3"/>
        <v>816.4</v>
      </c>
      <c r="J48" s="93">
        <v>0</v>
      </c>
      <c r="K48" s="313">
        <v>0</v>
      </c>
      <c r="L48" s="93">
        <v>816.4</v>
      </c>
      <c r="M48" s="462"/>
      <c r="N48" s="462"/>
      <c r="O48" s="462"/>
      <c r="P48" s="462"/>
      <c r="Q48" s="462"/>
      <c r="R48" s="462"/>
      <c r="S48" s="462"/>
      <c r="T48" s="462"/>
      <c r="U48" s="462"/>
      <c r="V48" s="462"/>
      <c r="W48" s="462"/>
      <c r="X48" s="462"/>
      <c r="Y48" s="462"/>
      <c r="Z48" s="462"/>
      <c r="AA48" s="462"/>
      <c r="AB48" s="462"/>
      <c r="AC48" s="462"/>
      <c r="AD48" s="462"/>
      <c r="AE48" s="462"/>
      <c r="AF48" s="462"/>
      <c r="AG48" s="462"/>
      <c r="AH48" s="462"/>
      <c r="AI48" s="462"/>
      <c r="AJ48" s="462"/>
      <c r="AK48" s="462"/>
      <c r="AL48" s="462"/>
      <c r="AM48" s="462"/>
      <c r="AN48" s="462"/>
      <c r="AO48" s="462"/>
      <c r="AP48" s="462"/>
      <c r="AQ48" s="462"/>
      <c r="AR48" s="462"/>
      <c r="AS48" s="462"/>
      <c r="AT48" s="462"/>
      <c r="AU48" s="462"/>
      <c r="AV48" s="462"/>
      <c r="AW48" s="462"/>
      <c r="AX48" s="462"/>
      <c r="AY48" s="462"/>
      <c r="AZ48" s="462"/>
      <c r="BA48" s="462"/>
      <c r="BB48" s="462"/>
      <c r="BC48" s="462"/>
      <c r="BD48" s="462"/>
      <c r="BE48" s="462"/>
      <c r="BF48" s="462"/>
      <c r="BG48" s="462"/>
      <c r="BH48" s="462"/>
      <c r="BI48" s="462"/>
      <c r="BJ48" s="462"/>
      <c r="BK48" s="462"/>
      <c r="BL48" s="462"/>
      <c r="BM48" s="462"/>
      <c r="BN48" s="462"/>
      <c r="BO48" s="462"/>
      <c r="BP48" s="462"/>
      <c r="BQ48" s="462"/>
    </row>
    <row r="49" spans="1:69" s="463" customFormat="1" ht="33" customHeight="1">
      <c r="A49" s="461"/>
      <c r="B49" s="502" t="s">
        <v>631</v>
      </c>
      <c r="C49" s="503" t="s">
        <v>62</v>
      </c>
      <c r="D49" s="478" t="s">
        <v>543</v>
      </c>
      <c r="E49" s="93">
        <f t="shared" si="0"/>
        <v>0</v>
      </c>
      <c r="F49" s="93">
        <v>0</v>
      </c>
      <c r="G49" s="93">
        <v>0</v>
      </c>
      <c r="H49" s="93">
        <v>0</v>
      </c>
      <c r="I49" s="93">
        <f t="shared" si="3"/>
        <v>0</v>
      </c>
      <c r="J49" s="93">
        <v>0</v>
      </c>
      <c r="K49" s="313">
        <v>0</v>
      </c>
      <c r="L49" s="93">
        <v>0</v>
      </c>
      <c r="M49" s="462"/>
      <c r="N49" s="462"/>
      <c r="O49" s="462"/>
      <c r="P49" s="462"/>
      <c r="Q49" s="462"/>
      <c r="R49" s="462"/>
      <c r="S49" s="462"/>
      <c r="T49" s="462"/>
      <c r="U49" s="462"/>
      <c r="V49" s="462"/>
      <c r="W49" s="462"/>
      <c r="X49" s="462"/>
      <c r="Y49" s="462"/>
      <c r="Z49" s="462"/>
      <c r="AA49" s="462"/>
      <c r="AB49" s="462"/>
      <c r="AC49" s="462"/>
      <c r="AD49" s="462"/>
      <c r="AE49" s="462"/>
      <c r="AF49" s="462"/>
      <c r="AG49" s="462"/>
      <c r="AH49" s="462"/>
      <c r="AI49" s="462"/>
      <c r="AJ49" s="462"/>
      <c r="AK49" s="462"/>
      <c r="AL49" s="462"/>
      <c r="AM49" s="462"/>
      <c r="AN49" s="462"/>
      <c r="AO49" s="462"/>
      <c r="AP49" s="462"/>
      <c r="AQ49" s="462"/>
      <c r="AR49" s="462"/>
      <c r="AS49" s="462"/>
      <c r="AT49" s="462"/>
      <c r="AU49" s="462"/>
      <c r="AV49" s="462"/>
      <c r="AW49" s="462"/>
      <c r="AX49" s="462"/>
      <c r="AY49" s="462"/>
      <c r="AZ49" s="462"/>
      <c r="BA49" s="462"/>
      <c r="BB49" s="462"/>
      <c r="BC49" s="462"/>
      <c r="BD49" s="462"/>
      <c r="BE49" s="462"/>
      <c r="BF49" s="462"/>
      <c r="BG49" s="462"/>
      <c r="BH49" s="462"/>
      <c r="BI49" s="462"/>
      <c r="BJ49" s="462"/>
      <c r="BK49" s="462"/>
      <c r="BL49" s="462"/>
      <c r="BM49" s="462"/>
      <c r="BN49" s="462"/>
      <c r="BO49" s="462"/>
      <c r="BP49" s="462"/>
      <c r="BQ49" s="462"/>
    </row>
    <row r="50" spans="1:69" s="475" customFormat="1" ht="47.25">
      <c r="A50" s="471" t="s">
        <v>329</v>
      </c>
      <c r="B50" s="493" t="s">
        <v>478</v>
      </c>
      <c r="C50" s="473" t="s">
        <v>62</v>
      </c>
      <c r="D50" s="484" t="s">
        <v>543</v>
      </c>
      <c r="E50" s="437">
        <f t="shared" si="0"/>
        <v>1046.93</v>
      </c>
      <c r="F50" s="437">
        <v>0</v>
      </c>
      <c r="G50" s="441">
        <v>1046.93</v>
      </c>
      <c r="H50" s="437">
        <v>0</v>
      </c>
      <c r="I50" s="437">
        <f t="shared" si="3"/>
        <v>217.70162999999999</v>
      </c>
      <c r="J50" s="437">
        <v>0</v>
      </c>
      <c r="K50" s="439">
        <v>0</v>
      </c>
      <c r="L50" s="437">
        <f>217.70163</f>
        <v>217.70162999999999</v>
      </c>
      <c r="M50" s="474"/>
      <c r="N50" s="474"/>
      <c r="O50" s="474"/>
      <c r="P50" s="474"/>
      <c r="Q50" s="474"/>
      <c r="R50" s="474"/>
      <c r="S50" s="474"/>
      <c r="T50" s="474"/>
      <c r="U50" s="474"/>
      <c r="V50" s="474"/>
      <c r="W50" s="474"/>
      <c r="X50" s="474"/>
      <c r="Y50" s="474"/>
      <c r="Z50" s="474"/>
      <c r="AA50" s="474"/>
      <c r="AB50" s="474"/>
      <c r="AC50" s="474"/>
      <c r="AD50" s="474"/>
      <c r="AE50" s="474"/>
      <c r="AF50" s="474"/>
      <c r="AG50" s="474"/>
      <c r="AH50" s="474"/>
      <c r="AI50" s="474"/>
      <c r="AJ50" s="474"/>
      <c r="AK50" s="474"/>
      <c r="AL50" s="474"/>
      <c r="AM50" s="474"/>
      <c r="AN50" s="474"/>
      <c r="AO50" s="474"/>
      <c r="AP50" s="474"/>
      <c r="AQ50" s="474"/>
      <c r="AR50" s="474"/>
      <c r="AS50" s="474"/>
      <c r="AT50" s="474"/>
      <c r="AU50" s="474"/>
      <c r="AV50" s="474"/>
      <c r="AW50" s="474"/>
      <c r="AX50" s="474"/>
      <c r="AY50" s="474"/>
      <c r="AZ50" s="474"/>
      <c r="BA50" s="474"/>
      <c r="BB50" s="474"/>
      <c r="BC50" s="474"/>
      <c r="BD50" s="474"/>
      <c r="BE50" s="474"/>
      <c r="BF50" s="474"/>
      <c r="BG50" s="474"/>
      <c r="BH50" s="474"/>
      <c r="BI50" s="474"/>
      <c r="BJ50" s="474"/>
      <c r="BK50" s="474"/>
      <c r="BL50" s="474"/>
      <c r="BM50" s="474"/>
      <c r="BN50" s="474"/>
      <c r="BO50" s="474"/>
      <c r="BP50" s="474"/>
      <c r="BQ50" s="474"/>
    </row>
    <row r="51" spans="1:69" s="475" customFormat="1" ht="98.25" customHeight="1">
      <c r="A51" s="471" t="s">
        <v>333</v>
      </c>
      <c r="B51" s="472" t="s">
        <v>563</v>
      </c>
      <c r="C51" s="473" t="s">
        <v>62</v>
      </c>
      <c r="D51" s="484" t="s">
        <v>543</v>
      </c>
      <c r="E51" s="437">
        <f t="shared" ref="E51:E57" si="4">SUM(F51:H51)</f>
        <v>1980.00251</v>
      </c>
      <c r="F51" s="437">
        <f>SUM(F52:F56)</f>
        <v>0</v>
      </c>
      <c r="G51" s="437">
        <f>G52+G53+G54+G55+G56</f>
        <v>1980.00251</v>
      </c>
      <c r="H51" s="437">
        <f>SUM(H52:H56)</f>
        <v>0</v>
      </c>
      <c r="I51" s="437">
        <f t="shared" si="3"/>
        <v>191.21016</v>
      </c>
      <c r="J51" s="437">
        <f>SUM(J52:J56)</f>
        <v>52.36307</v>
      </c>
      <c r="K51" s="437">
        <f>SUM(K52:K56)</f>
        <v>0</v>
      </c>
      <c r="L51" s="437">
        <f>SUM(L52:L56)</f>
        <v>138.84709000000001</v>
      </c>
      <c r="M51" s="504"/>
      <c r="N51" s="474"/>
      <c r="O51" s="474"/>
      <c r="P51" s="474"/>
      <c r="Q51" s="474"/>
      <c r="R51" s="474"/>
      <c r="S51" s="474"/>
      <c r="T51" s="474"/>
      <c r="U51" s="474"/>
      <c r="V51" s="474"/>
      <c r="W51" s="474"/>
      <c r="X51" s="474"/>
      <c r="Y51" s="474"/>
      <c r="Z51" s="474"/>
      <c r="AA51" s="474"/>
      <c r="AB51" s="474"/>
      <c r="AC51" s="474"/>
      <c r="AD51" s="474"/>
      <c r="AE51" s="474"/>
      <c r="AF51" s="474"/>
      <c r="AG51" s="474"/>
      <c r="AH51" s="474"/>
      <c r="AI51" s="474"/>
      <c r="AJ51" s="474"/>
      <c r="AK51" s="474"/>
      <c r="AL51" s="474"/>
      <c r="AM51" s="474"/>
      <c r="AN51" s="474"/>
      <c r="AO51" s="474"/>
      <c r="AP51" s="474"/>
      <c r="AQ51" s="474"/>
      <c r="AR51" s="474"/>
      <c r="AS51" s="474"/>
      <c r="AT51" s="474"/>
      <c r="AU51" s="474"/>
      <c r="AV51" s="474"/>
      <c r="AW51" s="474"/>
      <c r="AX51" s="474"/>
      <c r="AY51" s="474"/>
      <c r="AZ51" s="474"/>
      <c r="BA51" s="474"/>
      <c r="BB51" s="474"/>
      <c r="BC51" s="474"/>
      <c r="BD51" s="474"/>
      <c r="BE51" s="474"/>
      <c r="BF51" s="474"/>
      <c r="BG51" s="474"/>
      <c r="BH51" s="474"/>
      <c r="BI51" s="474"/>
      <c r="BJ51" s="474"/>
      <c r="BK51" s="474"/>
      <c r="BL51" s="474"/>
      <c r="BM51" s="474"/>
      <c r="BN51" s="474"/>
      <c r="BO51" s="474"/>
      <c r="BP51" s="474"/>
      <c r="BQ51" s="474"/>
    </row>
    <row r="52" spans="1:69" s="463" customFormat="1">
      <c r="A52" s="461"/>
      <c r="B52" s="505" t="s">
        <v>632</v>
      </c>
      <c r="C52" s="503" t="s">
        <v>62</v>
      </c>
      <c r="D52" s="478" t="s">
        <v>543</v>
      </c>
      <c r="E52" s="93">
        <f t="shared" si="4"/>
        <v>44.554000000000002</v>
      </c>
      <c r="F52" s="93">
        <v>0</v>
      </c>
      <c r="G52" s="312">
        <v>44.554000000000002</v>
      </c>
      <c r="H52" s="93">
        <v>0</v>
      </c>
      <c r="I52" s="93">
        <f t="shared" si="3"/>
        <v>152.50479000000001</v>
      </c>
      <c r="J52" s="93">
        <v>52.36307</v>
      </c>
      <c r="K52" s="313">
        <v>0</v>
      </c>
      <c r="L52" s="93">
        <v>100.14172000000001</v>
      </c>
      <c r="M52" s="506"/>
      <c r="N52" s="462"/>
      <c r="O52" s="462"/>
      <c r="P52" s="462"/>
      <c r="Q52" s="462"/>
      <c r="R52" s="462"/>
      <c r="S52" s="462"/>
      <c r="T52" s="462"/>
      <c r="U52" s="462"/>
      <c r="V52" s="462"/>
      <c r="W52" s="462"/>
      <c r="X52" s="462"/>
      <c r="Y52" s="462"/>
      <c r="Z52" s="462"/>
      <c r="AA52" s="462"/>
      <c r="AB52" s="462"/>
      <c r="AC52" s="462"/>
      <c r="AD52" s="462"/>
      <c r="AE52" s="462"/>
      <c r="AF52" s="462"/>
      <c r="AG52" s="462"/>
      <c r="AH52" s="462"/>
      <c r="AI52" s="462"/>
      <c r="AJ52" s="462"/>
      <c r="AK52" s="462"/>
      <c r="AL52" s="462"/>
      <c r="AM52" s="462"/>
      <c r="AN52" s="462"/>
      <c r="AO52" s="462"/>
      <c r="AP52" s="462"/>
      <c r="AQ52" s="462"/>
      <c r="AR52" s="462"/>
      <c r="AS52" s="462"/>
      <c r="AT52" s="462"/>
      <c r="AU52" s="462"/>
      <c r="AV52" s="462"/>
      <c r="AW52" s="462"/>
      <c r="AX52" s="462"/>
      <c r="AY52" s="462"/>
      <c r="AZ52" s="462"/>
      <c r="BA52" s="462"/>
      <c r="BB52" s="462"/>
      <c r="BC52" s="462"/>
      <c r="BD52" s="462"/>
      <c r="BE52" s="462"/>
      <c r="BF52" s="462"/>
      <c r="BG52" s="462"/>
      <c r="BH52" s="462"/>
      <c r="BI52" s="462"/>
      <c r="BJ52" s="462"/>
      <c r="BK52" s="462"/>
      <c r="BL52" s="462"/>
      <c r="BM52" s="462"/>
      <c r="BN52" s="462"/>
      <c r="BO52" s="462"/>
      <c r="BP52" s="462"/>
      <c r="BQ52" s="462"/>
    </row>
    <row r="53" spans="1:69" s="463" customFormat="1">
      <c r="A53" s="461"/>
      <c r="B53" s="505" t="s">
        <v>633</v>
      </c>
      <c r="C53" s="503" t="s">
        <v>62</v>
      </c>
      <c r="D53" s="478" t="s">
        <v>543</v>
      </c>
      <c r="E53" s="93">
        <f t="shared" si="4"/>
        <v>22.925000000000001</v>
      </c>
      <c r="F53" s="93">
        <v>0</v>
      </c>
      <c r="G53" s="312">
        <v>22.925000000000001</v>
      </c>
      <c r="H53" s="93">
        <v>0</v>
      </c>
      <c r="I53" s="93">
        <f t="shared" si="3"/>
        <v>20.35737</v>
      </c>
      <c r="J53" s="93">
        <v>0</v>
      </c>
      <c r="K53" s="313">
        <v>0</v>
      </c>
      <c r="L53" s="93">
        <v>20.35737</v>
      </c>
      <c r="M53" s="506"/>
      <c r="N53" s="462"/>
      <c r="O53" s="462"/>
      <c r="P53" s="462"/>
      <c r="Q53" s="462"/>
      <c r="R53" s="462"/>
      <c r="S53" s="462"/>
      <c r="T53" s="462"/>
      <c r="U53" s="462"/>
      <c r="V53" s="462"/>
      <c r="W53" s="462"/>
      <c r="X53" s="462"/>
      <c r="Y53" s="462"/>
      <c r="Z53" s="462"/>
      <c r="AA53" s="462"/>
      <c r="AB53" s="462"/>
      <c r="AC53" s="462"/>
      <c r="AD53" s="462"/>
      <c r="AE53" s="462"/>
      <c r="AF53" s="462"/>
      <c r="AG53" s="462"/>
      <c r="AH53" s="462"/>
      <c r="AI53" s="462"/>
      <c r="AJ53" s="462"/>
      <c r="AK53" s="462"/>
      <c r="AL53" s="462"/>
      <c r="AM53" s="462"/>
      <c r="AN53" s="462"/>
      <c r="AO53" s="462"/>
      <c r="AP53" s="462"/>
      <c r="AQ53" s="462"/>
      <c r="AR53" s="462"/>
      <c r="AS53" s="462"/>
      <c r="AT53" s="462"/>
      <c r="AU53" s="462"/>
      <c r="AV53" s="462"/>
      <c r="AW53" s="462"/>
      <c r="AX53" s="462"/>
      <c r="AY53" s="462"/>
      <c r="AZ53" s="462"/>
      <c r="BA53" s="462"/>
      <c r="BB53" s="462"/>
      <c r="BC53" s="462"/>
      <c r="BD53" s="462"/>
      <c r="BE53" s="462"/>
      <c r="BF53" s="462"/>
      <c r="BG53" s="462"/>
      <c r="BH53" s="462"/>
      <c r="BI53" s="462"/>
      <c r="BJ53" s="462"/>
      <c r="BK53" s="462"/>
      <c r="BL53" s="462"/>
      <c r="BM53" s="462"/>
      <c r="BN53" s="462"/>
      <c r="BO53" s="462"/>
      <c r="BP53" s="462"/>
      <c r="BQ53" s="462"/>
    </row>
    <row r="54" spans="1:69" s="463" customFormat="1">
      <c r="A54" s="461"/>
      <c r="B54" s="505" t="s">
        <v>634</v>
      </c>
      <c r="C54" s="503" t="s">
        <v>62</v>
      </c>
      <c r="D54" s="478" t="s">
        <v>543</v>
      </c>
      <c r="E54" s="93">
        <f t="shared" si="4"/>
        <v>380.48101000000003</v>
      </c>
      <c r="F54" s="93">
        <v>0</v>
      </c>
      <c r="G54" s="400">
        <v>380.48101000000003</v>
      </c>
      <c r="H54" s="93">
        <v>0</v>
      </c>
      <c r="I54" s="93">
        <f t="shared" si="3"/>
        <v>0</v>
      </c>
      <c r="J54" s="93">
        <v>0</v>
      </c>
      <c r="K54" s="313">
        <v>0</v>
      </c>
      <c r="L54" s="93">
        <v>0</v>
      </c>
      <c r="M54" s="506"/>
      <c r="N54" s="462"/>
      <c r="O54" s="462"/>
      <c r="P54" s="462"/>
      <c r="Q54" s="462"/>
      <c r="R54" s="462"/>
      <c r="S54" s="462"/>
      <c r="T54" s="462"/>
      <c r="U54" s="462"/>
      <c r="V54" s="462"/>
      <c r="W54" s="462"/>
      <c r="X54" s="462"/>
      <c r="Y54" s="462"/>
      <c r="Z54" s="462"/>
      <c r="AA54" s="462"/>
      <c r="AB54" s="462"/>
      <c r="AC54" s="462"/>
      <c r="AD54" s="462"/>
      <c r="AE54" s="462"/>
      <c r="AF54" s="462"/>
      <c r="AG54" s="462"/>
      <c r="AH54" s="462"/>
      <c r="AI54" s="462"/>
      <c r="AJ54" s="462"/>
      <c r="AK54" s="462"/>
      <c r="AL54" s="462"/>
      <c r="AM54" s="462"/>
      <c r="AN54" s="462"/>
      <c r="AO54" s="462"/>
      <c r="AP54" s="462"/>
      <c r="AQ54" s="462"/>
      <c r="AR54" s="462"/>
      <c r="AS54" s="462"/>
      <c r="AT54" s="462"/>
      <c r="AU54" s="462"/>
      <c r="AV54" s="462"/>
      <c r="AW54" s="462"/>
      <c r="AX54" s="462"/>
      <c r="AY54" s="462"/>
      <c r="AZ54" s="462"/>
      <c r="BA54" s="462"/>
      <c r="BB54" s="462"/>
      <c r="BC54" s="462"/>
      <c r="BD54" s="462"/>
      <c r="BE54" s="462"/>
      <c r="BF54" s="462"/>
      <c r="BG54" s="462"/>
      <c r="BH54" s="462"/>
      <c r="BI54" s="462"/>
      <c r="BJ54" s="462"/>
      <c r="BK54" s="462"/>
      <c r="BL54" s="462"/>
      <c r="BM54" s="462"/>
      <c r="BN54" s="462"/>
      <c r="BO54" s="462"/>
      <c r="BP54" s="462"/>
      <c r="BQ54" s="462"/>
    </row>
    <row r="55" spans="1:69" s="481" customFormat="1" ht="24">
      <c r="A55" s="476"/>
      <c r="B55" s="505" t="s">
        <v>635</v>
      </c>
      <c r="C55" s="503" t="s">
        <v>62</v>
      </c>
      <c r="D55" s="478" t="s">
        <v>543</v>
      </c>
      <c r="E55" s="93">
        <f t="shared" si="4"/>
        <v>1301.6424999999999</v>
      </c>
      <c r="F55" s="93">
        <v>0</v>
      </c>
      <c r="G55" s="400">
        <v>1301.6424999999999</v>
      </c>
      <c r="H55" s="93">
        <v>0</v>
      </c>
      <c r="I55" s="93">
        <f t="shared" si="3"/>
        <v>0</v>
      </c>
      <c r="J55" s="93">
        <v>0</v>
      </c>
      <c r="K55" s="313">
        <v>0</v>
      </c>
      <c r="L55" s="93">
        <v>0</v>
      </c>
      <c r="M55" s="506"/>
      <c r="N55" s="480"/>
      <c r="O55" s="480"/>
      <c r="P55" s="480"/>
      <c r="Q55" s="480"/>
      <c r="R55" s="480"/>
      <c r="S55" s="480"/>
      <c r="T55" s="480"/>
      <c r="U55" s="480"/>
      <c r="V55" s="480"/>
      <c r="W55" s="480"/>
      <c r="X55" s="480"/>
      <c r="Y55" s="480"/>
      <c r="Z55" s="480"/>
      <c r="AA55" s="480"/>
      <c r="AB55" s="480"/>
      <c r="AC55" s="480"/>
      <c r="AD55" s="480"/>
      <c r="AE55" s="480"/>
      <c r="AF55" s="480"/>
      <c r="AG55" s="480"/>
      <c r="AH55" s="480"/>
      <c r="AI55" s="480"/>
      <c r="AJ55" s="480"/>
      <c r="AK55" s="480"/>
      <c r="AL55" s="480"/>
      <c r="AM55" s="480"/>
      <c r="AN55" s="480"/>
      <c r="AO55" s="480"/>
      <c r="AP55" s="480"/>
      <c r="AQ55" s="480"/>
      <c r="AR55" s="480"/>
      <c r="AS55" s="480"/>
      <c r="AT55" s="480"/>
      <c r="AU55" s="480"/>
      <c r="AV55" s="480"/>
      <c r="AW55" s="480"/>
      <c r="AX55" s="480"/>
      <c r="AY55" s="480"/>
      <c r="AZ55" s="480"/>
      <c r="BA55" s="480"/>
      <c r="BB55" s="480"/>
      <c r="BC55" s="480"/>
      <c r="BD55" s="480"/>
      <c r="BE55" s="480"/>
      <c r="BF55" s="480"/>
      <c r="BG55" s="480"/>
      <c r="BH55" s="480"/>
      <c r="BI55" s="480"/>
      <c r="BJ55" s="480"/>
      <c r="BK55" s="480"/>
      <c r="BL55" s="480"/>
      <c r="BM55" s="480"/>
      <c r="BN55" s="480"/>
      <c r="BO55" s="480"/>
      <c r="BP55" s="480"/>
      <c r="BQ55" s="480"/>
    </row>
    <row r="56" spans="1:69" s="481" customFormat="1" ht="24">
      <c r="A56" s="476"/>
      <c r="B56" s="505" t="s">
        <v>636</v>
      </c>
      <c r="C56" s="503" t="s">
        <v>62</v>
      </c>
      <c r="D56" s="478" t="s">
        <v>543</v>
      </c>
      <c r="E56" s="93">
        <f t="shared" si="4"/>
        <v>230.4</v>
      </c>
      <c r="F56" s="93">
        <v>0</v>
      </c>
      <c r="G56" s="400">
        <v>230.4</v>
      </c>
      <c r="H56" s="93">
        <v>0</v>
      </c>
      <c r="I56" s="93">
        <f t="shared" si="3"/>
        <v>18.347999999999999</v>
      </c>
      <c r="J56" s="93">
        <v>0</v>
      </c>
      <c r="K56" s="313">
        <v>0</v>
      </c>
      <c r="L56" s="93">
        <f>3.888+14.46</f>
        <v>18.347999999999999</v>
      </c>
      <c r="M56" s="506"/>
      <c r="N56" s="480"/>
      <c r="O56" s="480"/>
      <c r="P56" s="480"/>
      <c r="Q56" s="480"/>
      <c r="R56" s="480"/>
      <c r="S56" s="480"/>
      <c r="T56" s="480"/>
      <c r="U56" s="480"/>
      <c r="V56" s="480"/>
      <c r="W56" s="480"/>
      <c r="X56" s="480"/>
      <c r="Y56" s="480"/>
      <c r="Z56" s="480"/>
      <c r="AA56" s="480"/>
      <c r="AB56" s="480"/>
      <c r="AC56" s="480"/>
      <c r="AD56" s="480"/>
      <c r="AE56" s="480"/>
      <c r="AF56" s="480"/>
      <c r="AG56" s="480"/>
      <c r="AH56" s="480"/>
      <c r="AI56" s="480"/>
      <c r="AJ56" s="480"/>
      <c r="AK56" s="480"/>
      <c r="AL56" s="480"/>
      <c r="AM56" s="480"/>
      <c r="AN56" s="480"/>
      <c r="AO56" s="480"/>
      <c r="AP56" s="480"/>
      <c r="AQ56" s="480"/>
      <c r="AR56" s="480"/>
      <c r="AS56" s="480"/>
      <c r="AT56" s="480"/>
      <c r="AU56" s="480"/>
      <c r="AV56" s="480"/>
      <c r="AW56" s="480"/>
      <c r="AX56" s="480"/>
      <c r="AY56" s="480"/>
      <c r="AZ56" s="480"/>
      <c r="BA56" s="480"/>
      <c r="BB56" s="480"/>
      <c r="BC56" s="480"/>
      <c r="BD56" s="480"/>
      <c r="BE56" s="480"/>
      <c r="BF56" s="480"/>
      <c r="BG56" s="480"/>
      <c r="BH56" s="480"/>
      <c r="BI56" s="480"/>
      <c r="BJ56" s="480"/>
      <c r="BK56" s="480"/>
      <c r="BL56" s="480"/>
      <c r="BM56" s="480"/>
      <c r="BN56" s="480"/>
      <c r="BO56" s="480"/>
      <c r="BP56" s="480"/>
      <c r="BQ56" s="480"/>
    </row>
    <row r="57" spans="1:69" s="475" customFormat="1" ht="48" customHeight="1">
      <c r="A57" s="471" t="s">
        <v>339</v>
      </c>
      <c r="B57" s="472" t="s">
        <v>604</v>
      </c>
      <c r="C57" s="473" t="s">
        <v>62</v>
      </c>
      <c r="D57" s="473" t="s">
        <v>543</v>
      </c>
      <c r="E57" s="437">
        <f t="shared" si="4"/>
        <v>4449.174</v>
      </c>
      <c r="F57" s="437">
        <f>SUM(F58:F62)</f>
        <v>0</v>
      </c>
      <c r="G57" s="437">
        <f>SUM(G58:G62)</f>
        <v>4449.174</v>
      </c>
      <c r="H57" s="437">
        <f>SUM(H58:H62)</f>
        <v>0</v>
      </c>
      <c r="I57" s="437">
        <f t="shared" si="3"/>
        <v>17.729010000000002</v>
      </c>
      <c r="J57" s="437">
        <f>SUM(J58:J62)</f>
        <v>0</v>
      </c>
      <c r="K57" s="437">
        <f>SUM(K58:K62)</f>
        <v>0</v>
      </c>
      <c r="L57" s="437">
        <f>SUM(L58:L62)</f>
        <v>17.729010000000002</v>
      </c>
      <c r="M57" s="474"/>
      <c r="N57" s="474"/>
      <c r="O57" s="474"/>
      <c r="P57" s="474"/>
      <c r="Q57" s="474"/>
      <c r="R57" s="474"/>
      <c r="S57" s="474"/>
      <c r="T57" s="474"/>
      <c r="U57" s="474"/>
      <c r="V57" s="474"/>
      <c r="W57" s="474"/>
      <c r="X57" s="474"/>
      <c r="Y57" s="474"/>
      <c r="Z57" s="474"/>
      <c r="AA57" s="474"/>
      <c r="AB57" s="474"/>
      <c r="AC57" s="474"/>
      <c r="AD57" s="474"/>
      <c r="AE57" s="474"/>
      <c r="AF57" s="474"/>
      <c r="AG57" s="474"/>
      <c r="AH57" s="474"/>
      <c r="AI57" s="474"/>
      <c r="AJ57" s="474"/>
      <c r="AK57" s="474"/>
      <c r="AL57" s="474"/>
      <c r="AM57" s="474"/>
      <c r="AN57" s="474"/>
      <c r="AO57" s="474"/>
      <c r="AP57" s="474"/>
      <c r="AQ57" s="474"/>
      <c r="AR57" s="474"/>
      <c r="AS57" s="474"/>
      <c r="AT57" s="474"/>
      <c r="AU57" s="474"/>
      <c r="AV57" s="474"/>
      <c r="AW57" s="474"/>
      <c r="AX57" s="474"/>
      <c r="AY57" s="474"/>
      <c r="AZ57" s="474"/>
      <c r="BA57" s="474"/>
      <c r="BB57" s="474"/>
      <c r="BC57" s="474"/>
      <c r="BD57" s="474"/>
      <c r="BE57" s="474"/>
      <c r="BF57" s="474"/>
      <c r="BG57" s="474"/>
      <c r="BH57" s="474"/>
      <c r="BI57" s="474"/>
      <c r="BJ57" s="474"/>
      <c r="BK57" s="474"/>
      <c r="BL57" s="474"/>
      <c r="BM57" s="474"/>
      <c r="BN57" s="474"/>
      <c r="BO57" s="474"/>
      <c r="BP57" s="474"/>
      <c r="BQ57" s="474"/>
    </row>
    <row r="58" spans="1:69" s="481" customFormat="1" ht="16.5" customHeight="1">
      <c r="A58" s="476"/>
      <c r="B58" s="482" t="s">
        <v>637</v>
      </c>
      <c r="C58" s="503" t="s">
        <v>62</v>
      </c>
      <c r="D58" s="478" t="s">
        <v>543</v>
      </c>
      <c r="E58" s="312">
        <f t="shared" si="0"/>
        <v>360</v>
      </c>
      <c r="F58" s="312">
        <v>0</v>
      </c>
      <c r="G58" s="312">
        <v>360</v>
      </c>
      <c r="H58" s="312">
        <v>0</v>
      </c>
      <c r="I58" s="93">
        <f t="shared" si="3"/>
        <v>0</v>
      </c>
      <c r="J58" s="93">
        <v>0</v>
      </c>
      <c r="K58" s="313">
        <v>0</v>
      </c>
      <c r="L58" s="93">
        <v>0</v>
      </c>
      <c r="M58" s="480"/>
      <c r="N58" s="480"/>
      <c r="O58" s="480"/>
      <c r="P58" s="480"/>
      <c r="Q58" s="480"/>
      <c r="R58" s="480"/>
      <c r="S58" s="480"/>
      <c r="T58" s="480"/>
      <c r="U58" s="480"/>
      <c r="V58" s="480"/>
      <c r="W58" s="480"/>
      <c r="X58" s="480"/>
      <c r="Y58" s="480"/>
      <c r="Z58" s="480"/>
      <c r="AA58" s="480"/>
      <c r="AB58" s="480"/>
      <c r="AC58" s="480"/>
      <c r="AD58" s="480"/>
      <c r="AE58" s="480"/>
      <c r="AF58" s="480"/>
      <c r="AG58" s="480"/>
      <c r="AH58" s="480"/>
      <c r="AI58" s="480"/>
      <c r="AJ58" s="480"/>
      <c r="AK58" s="480"/>
      <c r="AL58" s="480"/>
      <c r="AM58" s="480"/>
      <c r="AN58" s="480"/>
      <c r="AO58" s="480"/>
      <c r="AP58" s="480"/>
      <c r="AQ58" s="480"/>
      <c r="AR58" s="480"/>
      <c r="AS58" s="480"/>
      <c r="AT58" s="480"/>
      <c r="AU58" s="480"/>
      <c r="AV58" s="480"/>
      <c r="AW58" s="480"/>
      <c r="AX58" s="480"/>
      <c r="AY58" s="480"/>
      <c r="AZ58" s="480"/>
      <c r="BA58" s="480"/>
      <c r="BB58" s="480"/>
      <c r="BC58" s="480"/>
      <c r="BD58" s="480"/>
      <c r="BE58" s="480"/>
      <c r="BF58" s="480"/>
      <c r="BG58" s="480"/>
      <c r="BH58" s="480"/>
      <c r="BI58" s="480"/>
      <c r="BJ58" s="480"/>
      <c r="BK58" s="480"/>
      <c r="BL58" s="480"/>
      <c r="BM58" s="480"/>
      <c r="BN58" s="480"/>
      <c r="BO58" s="480"/>
      <c r="BP58" s="480"/>
      <c r="BQ58" s="480"/>
    </row>
    <row r="59" spans="1:69" s="481" customFormat="1" ht="12.75">
      <c r="A59" s="476"/>
      <c r="B59" s="502" t="s">
        <v>638</v>
      </c>
      <c r="C59" s="503" t="s">
        <v>62</v>
      </c>
      <c r="D59" s="478" t="s">
        <v>543</v>
      </c>
      <c r="E59" s="312">
        <f t="shared" si="0"/>
        <v>648</v>
      </c>
      <c r="F59" s="312">
        <v>0</v>
      </c>
      <c r="G59" s="312">
        <v>648</v>
      </c>
      <c r="H59" s="312">
        <v>0</v>
      </c>
      <c r="I59" s="93">
        <f t="shared" si="3"/>
        <v>0</v>
      </c>
      <c r="J59" s="93">
        <v>0</v>
      </c>
      <c r="K59" s="313">
        <v>0</v>
      </c>
      <c r="L59" s="93">
        <v>0</v>
      </c>
      <c r="M59" s="480"/>
      <c r="N59" s="480"/>
      <c r="O59" s="480"/>
      <c r="P59" s="480"/>
      <c r="Q59" s="480"/>
      <c r="R59" s="480"/>
      <c r="S59" s="480"/>
      <c r="T59" s="480"/>
      <c r="U59" s="480"/>
      <c r="V59" s="480"/>
      <c r="W59" s="480"/>
      <c r="X59" s="480"/>
      <c r="Y59" s="480"/>
      <c r="Z59" s="480"/>
      <c r="AA59" s="480"/>
      <c r="AB59" s="480"/>
      <c r="AC59" s="480"/>
      <c r="AD59" s="480"/>
      <c r="AE59" s="480"/>
      <c r="AF59" s="480"/>
      <c r="AG59" s="480"/>
      <c r="AH59" s="480"/>
      <c r="AI59" s="480"/>
      <c r="AJ59" s="480"/>
      <c r="AK59" s="480"/>
      <c r="AL59" s="480"/>
      <c r="AM59" s="480"/>
      <c r="AN59" s="480"/>
      <c r="AO59" s="480"/>
      <c r="AP59" s="480"/>
      <c r="AQ59" s="480"/>
      <c r="AR59" s="480"/>
      <c r="AS59" s="480"/>
      <c r="AT59" s="480"/>
      <c r="AU59" s="480"/>
      <c r="AV59" s="480"/>
      <c r="AW59" s="480"/>
      <c r="AX59" s="480"/>
      <c r="AY59" s="480"/>
      <c r="AZ59" s="480"/>
      <c r="BA59" s="480"/>
      <c r="BB59" s="480"/>
      <c r="BC59" s="480"/>
      <c r="BD59" s="480"/>
      <c r="BE59" s="480"/>
      <c r="BF59" s="480"/>
      <c r="BG59" s="480"/>
      <c r="BH59" s="480"/>
      <c r="BI59" s="480"/>
      <c r="BJ59" s="480"/>
      <c r="BK59" s="480"/>
      <c r="BL59" s="480"/>
      <c r="BM59" s="480"/>
      <c r="BN59" s="480"/>
      <c r="BO59" s="480"/>
      <c r="BP59" s="480"/>
      <c r="BQ59" s="480"/>
    </row>
    <row r="60" spans="1:69" s="481" customFormat="1" ht="12.75">
      <c r="A60" s="476"/>
      <c r="B60" s="502" t="s">
        <v>639</v>
      </c>
      <c r="C60" s="503" t="s">
        <v>62</v>
      </c>
      <c r="D60" s="478" t="s">
        <v>543</v>
      </c>
      <c r="E60" s="312">
        <f t="shared" si="0"/>
        <v>60.75</v>
      </c>
      <c r="F60" s="312">
        <v>0</v>
      </c>
      <c r="G60" s="400">
        <v>60.75</v>
      </c>
      <c r="H60" s="312">
        <v>0</v>
      </c>
      <c r="I60" s="93">
        <f t="shared" si="3"/>
        <v>0</v>
      </c>
      <c r="J60" s="93">
        <v>0</v>
      </c>
      <c r="K60" s="313">
        <v>0</v>
      </c>
      <c r="L60" s="93">
        <v>0</v>
      </c>
      <c r="M60" s="480"/>
      <c r="N60" s="480"/>
      <c r="O60" s="480"/>
      <c r="P60" s="480"/>
      <c r="Q60" s="480"/>
      <c r="R60" s="480"/>
      <c r="S60" s="480"/>
      <c r="T60" s="480"/>
      <c r="U60" s="480"/>
      <c r="V60" s="480"/>
      <c r="W60" s="480"/>
      <c r="X60" s="480"/>
      <c r="Y60" s="480"/>
      <c r="Z60" s="480"/>
      <c r="AA60" s="480"/>
      <c r="AB60" s="480"/>
      <c r="AC60" s="480"/>
      <c r="AD60" s="480"/>
      <c r="AE60" s="480"/>
      <c r="AF60" s="480"/>
      <c r="AG60" s="480"/>
      <c r="AH60" s="480"/>
      <c r="AI60" s="480"/>
      <c r="AJ60" s="480"/>
      <c r="AK60" s="480"/>
      <c r="AL60" s="480"/>
      <c r="AM60" s="480"/>
      <c r="AN60" s="480"/>
      <c r="AO60" s="480"/>
      <c r="AP60" s="480"/>
      <c r="AQ60" s="480"/>
      <c r="AR60" s="480"/>
      <c r="AS60" s="480"/>
      <c r="AT60" s="480"/>
      <c r="AU60" s="480"/>
      <c r="AV60" s="480"/>
      <c r="AW60" s="480"/>
      <c r="AX60" s="480"/>
      <c r="AY60" s="480"/>
      <c r="AZ60" s="480"/>
      <c r="BA60" s="480"/>
      <c r="BB60" s="480"/>
      <c r="BC60" s="480"/>
      <c r="BD60" s="480"/>
      <c r="BE60" s="480"/>
      <c r="BF60" s="480"/>
      <c r="BG60" s="480"/>
      <c r="BH60" s="480"/>
      <c r="BI60" s="480"/>
      <c r="BJ60" s="480"/>
      <c r="BK60" s="480"/>
      <c r="BL60" s="480"/>
      <c r="BM60" s="480"/>
      <c r="BN60" s="480"/>
      <c r="BO60" s="480"/>
      <c r="BP60" s="480"/>
      <c r="BQ60" s="480"/>
    </row>
    <row r="61" spans="1:69" s="463" customFormat="1">
      <c r="A61" s="461"/>
      <c r="B61" s="502" t="s">
        <v>640</v>
      </c>
      <c r="C61" s="503" t="s">
        <v>62</v>
      </c>
      <c r="D61" s="478" t="s">
        <v>543</v>
      </c>
      <c r="E61" s="312">
        <f t="shared" si="0"/>
        <v>72</v>
      </c>
      <c r="F61" s="312">
        <v>0</v>
      </c>
      <c r="G61" s="312">
        <v>72</v>
      </c>
      <c r="H61" s="312">
        <v>0</v>
      </c>
      <c r="I61" s="93">
        <f t="shared" si="3"/>
        <v>0</v>
      </c>
      <c r="J61" s="93">
        <v>0</v>
      </c>
      <c r="K61" s="313">
        <v>0</v>
      </c>
      <c r="L61" s="93">
        <v>0</v>
      </c>
      <c r="M61" s="462"/>
      <c r="N61" s="462"/>
      <c r="O61" s="462"/>
      <c r="P61" s="462"/>
      <c r="Q61" s="462"/>
      <c r="R61" s="462"/>
      <c r="S61" s="462"/>
      <c r="T61" s="462"/>
      <c r="U61" s="462"/>
      <c r="V61" s="462"/>
      <c r="W61" s="462"/>
      <c r="X61" s="462"/>
      <c r="Y61" s="462"/>
      <c r="Z61" s="462"/>
      <c r="AA61" s="462"/>
      <c r="AB61" s="462"/>
      <c r="AC61" s="462"/>
      <c r="AD61" s="462"/>
      <c r="AE61" s="462"/>
      <c r="AF61" s="462"/>
      <c r="AG61" s="462"/>
      <c r="AH61" s="462"/>
      <c r="AI61" s="462"/>
      <c r="AJ61" s="462"/>
      <c r="AK61" s="462"/>
      <c r="AL61" s="462"/>
      <c r="AM61" s="462"/>
      <c r="AN61" s="462"/>
      <c r="AO61" s="462"/>
      <c r="AP61" s="462"/>
      <c r="AQ61" s="462"/>
      <c r="AR61" s="462"/>
      <c r="AS61" s="462"/>
      <c r="AT61" s="462"/>
      <c r="AU61" s="462"/>
      <c r="AV61" s="462"/>
      <c r="AW61" s="462"/>
      <c r="AX61" s="462"/>
      <c r="AY61" s="462"/>
      <c r="AZ61" s="462"/>
      <c r="BA61" s="462"/>
      <c r="BB61" s="462"/>
      <c r="BC61" s="462"/>
      <c r="BD61" s="462"/>
      <c r="BE61" s="462"/>
      <c r="BF61" s="462"/>
      <c r="BG61" s="462"/>
      <c r="BH61" s="462"/>
      <c r="BI61" s="462"/>
      <c r="BJ61" s="462"/>
      <c r="BK61" s="462"/>
      <c r="BL61" s="462"/>
      <c r="BM61" s="462"/>
      <c r="BN61" s="462"/>
      <c r="BO61" s="462"/>
      <c r="BP61" s="462"/>
      <c r="BQ61" s="462"/>
    </row>
    <row r="62" spans="1:69" s="463" customFormat="1">
      <c r="A62" s="461"/>
      <c r="B62" s="502" t="s">
        <v>641</v>
      </c>
      <c r="C62" s="503" t="s">
        <v>62</v>
      </c>
      <c r="D62" s="478" t="s">
        <v>543</v>
      </c>
      <c r="E62" s="312">
        <f t="shared" si="0"/>
        <v>3308.424</v>
      </c>
      <c r="F62" s="312">
        <v>0</v>
      </c>
      <c r="G62" s="400">
        <v>3308.424</v>
      </c>
      <c r="H62" s="312">
        <v>0</v>
      </c>
      <c r="I62" s="93">
        <f t="shared" si="3"/>
        <v>17.729010000000002</v>
      </c>
      <c r="J62" s="93">
        <v>0</v>
      </c>
      <c r="K62" s="313">
        <v>0</v>
      </c>
      <c r="L62" s="93">
        <f>3.47485+2.65815+1.32776+10.26825</f>
        <v>17.729010000000002</v>
      </c>
      <c r="M62" s="462"/>
      <c r="N62" s="462"/>
      <c r="O62" s="462"/>
      <c r="P62" s="462"/>
      <c r="Q62" s="462"/>
      <c r="R62" s="462"/>
      <c r="S62" s="462"/>
      <c r="T62" s="462"/>
      <c r="U62" s="462"/>
      <c r="V62" s="462"/>
      <c r="W62" s="462"/>
      <c r="X62" s="462"/>
      <c r="Y62" s="462"/>
      <c r="Z62" s="462"/>
      <c r="AA62" s="462"/>
      <c r="AB62" s="462"/>
      <c r="AC62" s="462"/>
      <c r="AD62" s="462"/>
      <c r="AE62" s="462"/>
      <c r="AF62" s="462"/>
      <c r="AG62" s="462"/>
      <c r="AH62" s="462"/>
      <c r="AI62" s="462"/>
      <c r="AJ62" s="462"/>
      <c r="AK62" s="462"/>
      <c r="AL62" s="462"/>
      <c r="AM62" s="462"/>
      <c r="AN62" s="462"/>
      <c r="AO62" s="462"/>
      <c r="AP62" s="462"/>
      <c r="AQ62" s="462"/>
      <c r="AR62" s="462"/>
      <c r="AS62" s="462"/>
      <c r="AT62" s="462"/>
      <c r="AU62" s="462"/>
      <c r="AV62" s="462"/>
      <c r="AW62" s="462"/>
      <c r="AX62" s="462"/>
      <c r="AY62" s="462"/>
      <c r="AZ62" s="462"/>
      <c r="BA62" s="462"/>
      <c r="BB62" s="462"/>
      <c r="BC62" s="462"/>
      <c r="BD62" s="462"/>
      <c r="BE62" s="462"/>
      <c r="BF62" s="462"/>
      <c r="BG62" s="462"/>
      <c r="BH62" s="462"/>
      <c r="BI62" s="462"/>
      <c r="BJ62" s="462"/>
      <c r="BK62" s="462"/>
      <c r="BL62" s="462"/>
      <c r="BM62" s="462"/>
      <c r="BN62" s="462"/>
      <c r="BO62" s="462"/>
      <c r="BP62" s="462"/>
      <c r="BQ62" s="462"/>
    </row>
    <row r="63" spans="1:69" s="475" customFormat="1" ht="114.75" customHeight="1">
      <c r="A63" s="471" t="s">
        <v>343</v>
      </c>
      <c r="B63" s="472" t="s">
        <v>495</v>
      </c>
      <c r="C63" s="473" t="s">
        <v>62</v>
      </c>
      <c r="D63" s="473" t="s">
        <v>543</v>
      </c>
      <c r="E63" s="437">
        <f t="shared" si="0"/>
        <v>237.5</v>
      </c>
      <c r="F63" s="437">
        <v>0</v>
      </c>
      <c r="G63" s="437">
        <v>0</v>
      </c>
      <c r="H63" s="441">
        <v>237.5</v>
      </c>
      <c r="I63" s="437">
        <f t="shared" si="3"/>
        <v>0</v>
      </c>
      <c r="J63" s="437">
        <v>0</v>
      </c>
      <c r="K63" s="439">
        <v>0</v>
      </c>
      <c r="L63" s="437">
        <v>0</v>
      </c>
      <c r="M63" s="474"/>
      <c r="N63" s="474"/>
      <c r="O63" s="474"/>
      <c r="P63" s="474"/>
      <c r="Q63" s="474"/>
      <c r="R63" s="474"/>
      <c r="S63" s="474"/>
      <c r="T63" s="474"/>
      <c r="U63" s="474"/>
      <c r="V63" s="474"/>
      <c r="W63" s="474"/>
      <c r="X63" s="474"/>
      <c r="Y63" s="474"/>
      <c r="Z63" s="474"/>
      <c r="AA63" s="474"/>
      <c r="AB63" s="474"/>
      <c r="AC63" s="474"/>
      <c r="AD63" s="474"/>
      <c r="AE63" s="474"/>
      <c r="AF63" s="474"/>
      <c r="AG63" s="474"/>
      <c r="AH63" s="474"/>
      <c r="AI63" s="474"/>
      <c r="AJ63" s="474"/>
      <c r="AK63" s="474"/>
      <c r="AL63" s="474"/>
      <c r="AM63" s="474"/>
      <c r="AN63" s="474"/>
      <c r="AO63" s="474"/>
      <c r="AP63" s="474"/>
      <c r="AQ63" s="474"/>
      <c r="AR63" s="474"/>
      <c r="AS63" s="474"/>
      <c r="AT63" s="474"/>
      <c r="AU63" s="474"/>
      <c r="AV63" s="474"/>
      <c r="AW63" s="474"/>
      <c r="AX63" s="474"/>
      <c r="AY63" s="474"/>
      <c r="AZ63" s="474"/>
      <c r="BA63" s="474"/>
      <c r="BB63" s="474"/>
      <c r="BC63" s="474"/>
      <c r="BD63" s="474"/>
      <c r="BE63" s="474"/>
      <c r="BF63" s="474"/>
      <c r="BG63" s="474"/>
      <c r="BH63" s="474"/>
      <c r="BI63" s="474"/>
      <c r="BJ63" s="474"/>
      <c r="BK63" s="474"/>
      <c r="BL63" s="474"/>
      <c r="BM63" s="474"/>
      <c r="BN63" s="474"/>
      <c r="BO63" s="474"/>
      <c r="BP63" s="474"/>
      <c r="BQ63" s="474"/>
    </row>
    <row r="64" spans="1:69" s="470" customFormat="1" ht="36.75" customHeight="1">
      <c r="A64" s="464" t="s">
        <v>132</v>
      </c>
      <c r="B64" s="465" t="s">
        <v>131</v>
      </c>
      <c r="C64" s="465"/>
      <c r="D64" s="465"/>
      <c r="E64" s="435">
        <f t="shared" si="0"/>
        <v>196694.41999999998</v>
      </c>
      <c r="F64" s="435">
        <f>SUM(F65+F69+F72+F73)</f>
        <v>66489.42</v>
      </c>
      <c r="G64" s="435">
        <f>SUM(G65+G69+G72+G73)</f>
        <v>1000</v>
      </c>
      <c r="H64" s="435">
        <f>SUM(H65+H69+H72+H73)</f>
        <v>129205</v>
      </c>
      <c r="I64" s="435">
        <f t="shared" si="3"/>
        <v>16459.426650000001</v>
      </c>
      <c r="J64" s="435">
        <f>J65+J69+J72+J73</f>
        <v>10914.903689999999</v>
      </c>
      <c r="K64" s="435">
        <f>K65+K69+K72+K73</f>
        <v>0</v>
      </c>
      <c r="L64" s="435">
        <f>L65+L69+L72+L73</f>
        <v>5544.5229600000002</v>
      </c>
      <c r="M64" s="468"/>
      <c r="N64" s="469"/>
      <c r="O64" s="468"/>
      <c r="P64" s="468"/>
      <c r="Q64" s="468"/>
      <c r="R64" s="468"/>
      <c r="S64" s="468"/>
      <c r="T64" s="468"/>
      <c r="U64" s="468"/>
      <c r="V64" s="468"/>
      <c r="W64" s="468"/>
      <c r="X64" s="468"/>
      <c r="Y64" s="468"/>
      <c r="Z64" s="468"/>
      <c r="AA64" s="468"/>
      <c r="AB64" s="468"/>
      <c r="AC64" s="468"/>
      <c r="AD64" s="468"/>
      <c r="AE64" s="468"/>
      <c r="AF64" s="468"/>
      <c r="AG64" s="468"/>
      <c r="AH64" s="468"/>
      <c r="AI64" s="468"/>
      <c r="AJ64" s="468"/>
      <c r="AK64" s="468"/>
      <c r="AL64" s="468"/>
      <c r="AM64" s="468"/>
      <c r="AN64" s="468"/>
      <c r="AO64" s="468"/>
      <c r="AP64" s="468"/>
      <c r="AQ64" s="468"/>
      <c r="AR64" s="468"/>
      <c r="AS64" s="468"/>
      <c r="AT64" s="468"/>
      <c r="AU64" s="468"/>
      <c r="AV64" s="468"/>
      <c r="AW64" s="468"/>
      <c r="AX64" s="468"/>
      <c r="AY64" s="468"/>
      <c r="AZ64" s="468"/>
      <c r="BA64" s="468"/>
      <c r="BB64" s="468"/>
      <c r="BC64" s="468"/>
      <c r="BD64" s="468"/>
      <c r="BE64" s="468"/>
      <c r="BF64" s="468"/>
      <c r="BG64" s="468"/>
      <c r="BH64" s="468"/>
      <c r="BI64" s="468"/>
      <c r="BJ64" s="468"/>
      <c r="BK64" s="468"/>
      <c r="BL64" s="468"/>
      <c r="BM64" s="468"/>
      <c r="BN64" s="468"/>
      <c r="BO64" s="468"/>
      <c r="BP64" s="468"/>
      <c r="BQ64" s="468"/>
    </row>
    <row r="65" spans="1:69" s="475" customFormat="1" ht="50.25" customHeight="1">
      <c r="A65" s="471" t="s">
        <v>570</v>
      </c>
      <c r="B65" s="472" t="s">
        <v>571</v>
      </c>
      <c r="C65" s="473" t="s">
        <v>62</v>
      </c>
      <c r="D65" s="473" t="s">
        <v>543</v>
      </c>
      <c r="E65" s="437">
        <f t="shared" si="0"/>
        <v>188433.41999999998</v>
      </c>
      <c r="F65" s="437">
        <f>SUM(F66:F68)</f>
        <v>66489.42</v>
      </c>
      <c r="G65" s="437">
        <f>SUM(G66:G68)</f>
        <v>0</v>
      </c>
      <c r="H65" s="437">
        <f>SUM(H66:H68)</f>
        <v>121944</v>
      </c>
      <c r="I65" s="437">
        <f t="shared" si="3"/>
        <v>15031.682649999999</v>
      </c>
      <c r="J65" s="437">
        <f>SUM(J66:J68)</f>
        <v>10914.903689999999</v>
      </c>
      <c r="K65" s="437">
        <f>SUM(K66:K68)</f>
        <v>0</v>
      </c>
      <c r="L65" s="437">
        <f>SUM(L66:L68)</f>
        <v>4116.7789600000006</v>
      </c>
      <c r="M65" s="474"/>
      <c r="N65" s="492"/>
      <c r="O65" s="474"/>
      <c r="P65" s="474"/>
      <c r="Q65" s="474"/>
      <c r="R65" s="474"/>
      <c r="S65" s="474"/>
      <c r="T65" s="474"/>
      <c r="U65" s="474"/>
      <c r="V65" s="474"/>
      <c r="W65" s="474"/>
      <c r="X65" s="474"/>
      <c r="Y65" s="474"/>
      <c r="Z65" s="474"/>
      <c r="AA65" s="474"/>
      <c r="AB65" s="474"/>
      <c r="AC65" s="474"/>
      <c r="AD65" s="474"/>
      <c r="AE65" s="474"/>
      <c r="AF65" s="474"/>
      <c r="AG65" s="474"/>
      <c r="AH65" s="474"/>
      <c r="AI65" s="474"/>
      <c r="AJ65" s="474"/>
      <c r="AK65" s="474"/>
      <c r="AL65" s="474"/>
      <c r="AM65" s="474"/>
      <c r="AN65" s="474"/>
      <c r="AO65" s="474"/>
      <c r="AP65" s="474"/>
      <c r="AQ65" s="474"/>
      <c r="AR65" s="474"/>
      <c r="AS65" s="474"/>
      <c r="AT65" s="474"/>
      <c r="AU65" s="474"/>
      <c r="AV65" s="474"/>
      <c r="AW65" s="474"/>
      <c r="AX65" s="474"/>
      <c r="AY65" s="474"/>
      <c r="AZ65" s="474"/>
      <c r="BA65" s="474"/>
      <c r="BB65" s="474"/>
      <c r="BC65" s="474"/>
      <c r="BD65" s="474"/>
      <c r="BE65" s="474"/>
      <c r="BF65" s="474"/>
      <c r="BG65" s="474"/>
      <c r="BH65" s="474"/>
      <c r="BI65" s="474"/>
      <c r="BJ65" s="474"/>
      <c r="BK65" s="474"/>
      <c r="BL65" s="474"/>
      <c r="BM65" s="474"/>
      <c r="BN65" s="474"/>
      <c r="BO65" s="474"/>
      <c r="BP65" s="474"/>
      <c r="BQ65" s="474"/>
    </row>
    <row r="66" spans="1:69" s="510" customFormat="1" ht="55.5" customHeight="1">
      <c r="A66" s="507"/>
      <c r="B66" s="502" t="s">
        <v>642</v>
      </c>
      <c r="C66" s="503" t="s">
        <v>62</v>
      </c>
      <c r="D66" s="503" t="s">
        <v>543</v>
      </c>
      <c r="E66" s="311">
        <f t="shared" si="0"/>
        <v>188433.41999999998</v>
      </c>
      <c r="F66" s="311">
        <v>66489.42</v>
      </c>
      <c r="G66" s="401">
        <v>0</v>
      </c>
      <c r="H66" s="311">
        <v>121944</v>
      </c>
      <c r="I66" s="311">
        <f t="shared" si="3"/>
        <v>15031.682649999999</v>
      </c>
      <c r="J66" s="311">
        <f>10914.90369</f>
        <v>10914.903689999999</v>
      </c>
      <c r="K66" s="314">
        <v>0</v>
      </c>
      <c r="L66" s="311">
        <f>2119.33659+1996.09237+1.35</f>
        <v>4116.7789600000006</v>
      </c>
      <c r="M66" s="508"/>
      <c r="N66" s="509"/>
      <c r="O66" s="508"/>
      <c r="P66" s="508"/>
      <c r="Q66" s="508"/>
      <c r="R66" s="508"/>
      <c r="S66" s="508"/>
      <c r="T66" s="508"/>
      <c r="U66" s="508"/>
      <c r="V66" s="508"/>
      <c r="W66" s="508"/>
      <c r="X66" s="508"/>
      <c r="Y66" s="508"/>
      <c r="Z66" s="508"/>
      <c r="AA66" s="508"/>
      <c r="AB66" s="508"/>
      <c r="AC66" s="508"/>
      <c r="AD66" s="508"/>
      <c r="AE66" s="508"/>
      <c r="AF66" s="508"/>
      <c r="AG66" s="508"/>
      <c r="AH66" s="508"/>
      <c r="AI66" s="508"/>
      <c r="AJ66" s="508"/>
      <c r="AK66" s="508"/>
      <c r="AL66" s="508"/>
      <c r="AM66" s="508"/>
      <c r="AN66" s="508"/>
      <c r="AO66" s="508"/>
      <c r="AP66" s="508"/>
      <c r="AQ66" s="508"/>
      <c r="AR66" s="508"/>
      <c r="AS66" s="508"/>
      <c r="AT66" s="508"/>
      <c r="AU66" s="508"/>
      <c r="AV66" s="508"/>
      <c r="AW66" s="508"/>
      <c r="AX66" s="508"/>
      <c r="AY66" s="508"/>
      <c r="AZ66" s="508"/>
      <c r="BA66" s="508"/>
      <c r="BB66" s="508"/>
      <c r="BC66" s="508"/>
      <c r="BD66" s="508"/>
      <c r="BE66" s="508"/>
      <c r="BF66" s="508"/>
      <c r="BG66" s="508"/>
      <c r="BH66" s="508"/>
      <c r="BI66" s="508"/>
      <c r="BJ66" s="508"/>
      <c r="BK66" s="508"/>
      <c r="BL66" s="508"/>
      <c r="BM66" s="508"/>
      <c r="BN66" s="508"/>
      <c r="BO66" s="508"/>
      <c r="BP66" s="508"/>
      <c r="BQ66" s="508"/>
    </row>
    <row r="67" spans="1:69" s="510" customFormat="1" ht="39" customHeight="1">
      <c r="A67" s="507"/>
      <c r="B67" s="502" t="s">
        <v>643</v>
      </c>
      <c r="C67" s="503" t="s">
        <v>62</v>
      </c>
      <c r="D67" s="503" t="s">
        <v>543</v>
      </c>
      <c r="E67" s="311">
        <f t="shared" si="0"/>
        <v>0</v>
      </c>
      <c r="F67" s="311">
        <v>0</v>
      </c>
      <c r="G67" s="311">
        <v>0</v>
      </c>
      <c r="H67" s="311">
        <v>0</v>
      </c>
      <c r="I67" s="311">
        <f t="shared" si="3"/>
        <v>0</v>
      </c>
      <c r="J67" s="311">
        <v>0</v>
      </c>
      <c r="K67" s="314">
        <v>0</v>
      </c>
      <c r="L67" s="311">
        <v>0</v>
      </c>
      <c r="M67" s="508"/>
      <c r="N67" s="508"/>
      <c r="O67" s="508"/>
      <c r="P67" s="508"/>
      <c r="Q67" s="508"/>
      <c r="R67" s="508"/>
      <c r="S67" s="508"/>
      <c r="T67" s="508"/>
      <c r="U67" s="508"/>
      <c r="V67" s="508"/>
      <c r="W67" s="508"/>
      <c r="X67" s="508"/>
      <c r="Y67" s="508"/>
      <c r="Z67" s="508"/>
      <c r="AA67" s="508"/>
      <c r="AB67" s="508"/>
      <c r="AC67" s="508"/>
      <c r="AD67" s="508"/>
      <c r="AE67" s="508"/>
      <c r="AF67" s="508"/>
      <c r="AG67" s="508"/>
      <c r="AH67" s="508"/>
      <c r="AI67" s="508"/>
      <c r="AJ67" s="508"/>
      <c r="AK67" s="508"/>
      <c r="AL67" s="508"/>
      <c r="AM67" s="508"/>
      <c r="AN67" s="508"/>
      <c r="AO67" s="508"/>
      <c r="AP67" s="508"/>
      <c r="AQ67" s="508"/>
      <c r="AR67" s="508"/>
      <c r="AS67" s="508"/>
      <c r="AT67" s="508"/>
      <c r="AU67" s="508"/>
      <c r="AV67" s="508"/>
      <c r="AW67" s="508"/>
      <c r="AX67" s="508"/>
      <c r="AY67" s="508"/>
      <c r="AZ67" s="508"/>
      <c r="BA67" s="508"/>
      <c r="BB67" s="508"/>
      <c r="BC67" s="508"/>
      <c r="BD67" s="508"/>
      <c r="BE67" s="508"/>
      <c r="BF67" s="508"/>
      <c r="BG67" s="508"/>
      <c r="BH67" s="508"/>
      <c r="BI67" s="508"/>
      <c r="BJ67" s="508"/>
      <c r="BK67" s="508"/>
      <c r="BL67" s="508"/>
      <c r="BM67" s="508"/>
      <c r="BN67" s="508"/>
      <c r="BO67" s="508"/>
      <c r="BP67" s="508"/>
      <c r="BQ67" s="508"/>
    </row>
    <row r="68" spans="1:69" s="510" customFormat="1" ht="28.5" customHeight="1">
      <c r="A68" s="507"/>
      <c r="B68" s="502" t="s">
        <v>644</v>
      </c>
      <c r="C68" s="503" t="s">
        <v>62</v>
      </c>
      <c r="D68" s="503" t="s">
        <v>543</v>
      </c>
      <c r="E68" s="311">
        <f t="shared" si="0"/>
        <v>0</v>
      </c>
      <c r="F68" s="311">
        <v>0</v>
      </c>
      <c r="G68" s="311">
        <v>0</v>
      </c>
      <c r="H68" s="311">
        <v>0</v>
      </c>
      <c r="I68" s="311">
        <f t="shared" si="3"/>
        <v>0</v>
      </c>
      <c r="J68" s="311">
        <v>0</v>
      </c>
      <c r="K68" s="314">
        <v>0</v>
      </c>
      <c r="L68" s="311">
        <v>0</v>
      </c>
      <c r="M68" s="508"/>
      <c r="N68" s="508"/>
      <c r="O68" s="508"/>
      <c r="P68" s="508"/>
      <c r="Q68" s="508"/>
      <c r="R68" s="508"/>
      <c r="S68" s="508"/>
      <c r="T68" s="508"/>
      <c r="U68" s="508"/>
      <c r="V68" s="508"/>
      <c r="W68" s="508"/>
      <c r="X68" s="508"/>
      <c r="Y68" s="508"/>
      <c r="Z68" s="508"/>
      <c r="AA68" s="508"/>
      <c r="AB68" s="508"/>
      <c r="AC68" s="508"/>
      <c r="AD68" s="508"/>
      <c r="AE68" s="508"/>
      <c r="AF68" s="508"/>
      <c r="AG68" s="508"/>
      <c r="AH68" s="508"/>
      <c r="AI68" s="508"/>
      <c r="AJ68" s="508"/>
      <c r="AK68" s="508"/>
      <c r="AL68" s="508"/>
      <c r="AM68" s="508"/>
      <c r="AN68" s="508"/>
      <c r="AO68" s="508"/>
      <c r="AP68" s="508"/>
      <c r="AQ68" s="508"/>
      <c r="AR68" s="508"/>
      <c r="AS68" s="508"/>
      <c r="AT68" s="508"/>
      <c r="AU68" s="508"/>
      <c r="AV68" s="508"/>
      <c r="AW68" s="508"/>
      <c r="AX68" s="508"/>
      <c r="AY68" s="508"/>
      <c r="AZ68" s="508"/>
      <c r="BA68" s="508"/>
      <c r="BB68" s="508"/>
      <c r="BC68" s="508"/>
      <c r="BD68" s="508"/>
      <c r="BE68" s="508"/>
      <c r="BF68" s="508"/>
      <c r="BG68" s="508"/>
      <c r="BH68" s="508"/>
      <c r="BI68" s="508"/>
      <c r="BJ68" s="508"/>
      <c r="BK68" s="508"/>
      <c r="BL68" s="508"/>
      <c r="BM68" s="508"/>
      <c r="BN68" s="508"/>
      <c r="BO68" s="508"/>
      <c r="BP68" s="508"/>
      <c r="BQ68" s="508"/>
    </row>
    <row r="69" spans="1:69" s="475" customFormat="1" ht="52.5" customHeight="1">
      <c r="A69" s="471" t="s">
        <v>586</v>
      </c>
      <c r="B69" s="472" t="s">
        <v>587</v>
      </c>
      <c r="C69" s="473" t="s">
        <v>62</v>
      </c>
      <c r="D69" s="473" t="s">
        <v>550</v>
      </c>
      <c r="E69" s="437">
        <f>SUM(F69:H69)</f>
        <v>1000</v>
      </c>
      <c r="F69" s="437">
        <f>SUM(F70:F71)</f>
        <v>0</v>
      </c>
      <c r="G69" s="437">
        <f>SUM(G70:G71)</f>
        <v>1000</v>
      </c>
      <c r="H69" s="437">
        <f>SUM(H70:H71)</f>
        <v>0</v>
      </c>
      <c r="I69" s="437">
        <f t="shared" si="3"/>
        <v>0</v>
      </c>
      <c r="J69" s="437">
        <f>SUM(J70:J71)</f>
        <v>0</v>
      </c>
      <c r="K69" s="437">
        <f>SUM(K70:K71)</f>
        <v>0</v>
      </c>
      <c r="L69" s="437">
        <f>SUM(L70:L71)</f>
        <v>0</v>
      </c>
      <c r="M69" s="474"/>
      <c r="N69" s="474"/>
      <c r="O69" s="474"/>
      <c r="P69" s="474"/>
      <c r="Q69" s="474"/>
      <c r="R69" s="474"/>
      <c r="S69" s="474"/>
      <c r="T69" s="474"/>
      <c r="U69" s="474"/>
      <c r="V69" s="474"/>
      <c r="W69" s="474"/>
      <c r="X69" s="474"/>
      <c r="Y69" s="474"/>
      <c r="Z69" s="474"/>
      <c r="AA69" s="474"/>
      <c r="AB69" s="474"/>
      <c r="AC69" s="474"/>
      <c r="AD69" s="474"/>
      <c r="AE69" s="474"/>
      <c r="AF69" s="474"/>
      <c r="AG69" s="474"/>
      <c r="AH69" s="474"/>
      <c r="AI69" s="474"/>
      <c r="AJ69" s="474"/>
      <c r="AK69" s="474"/>
      <c r="AL69" s="474"/>
      <c r="AM69" s="474"/>
      <c r="AN69" s="474"/>
      <c r="AO69" s="474"/>
      <c r="AP69" s="474"/>
      <c r="AQ69" s="474"/>
      <c r="AR69" s="474"/>
      <c r="AS69" s="474"/>
      <c r="AT69" s="474"/>
      <c r="AU69" s="474"/>
      <c r="AV69" s="474"/>
      <c r="AW69" s="474"/>
      <c r="AX69" s="474"/>
      <c r="AY69" s="474"/>
      <c r="AZ69" s="474"/>
      <c r="BA69" s="474"/>
      <c r="BB69" s="474"/>
      <c r="BC69" s="474"/>
      <c r="BD69" s="474"/>
      <c r="BE69" s="474"/>
      <c r="BF69" s="474"/>
      <c r="BG69" s="474"/>
      <c r="BH69" s="474"/>
      <c r="BI69" s="474"/>
      <c r="BJ69" s="474"/>
      <c r="BK69" s="474"/>
      <c r="BL69" s="474"/>
      <c r="BM69" s="474"/>
      <c r="BN69" s="474"/>
      <c r="BO69" s="474"/>
      <c r="BP69" s="474"/>
      <c r="BQ69" s="474"/>
    </row>
    <row r="70" spans="1:69" s="510" customFormat="1" ht="20.25" customHeight="1">
      <c r="A70" s="507"/>
      <c r="B70" s="502" t="s">
        <v>645</v>
      </c>
      <c r="C70" s="503" t="s">
        <v>62</v>
      </c>
      <c r="D70" s="503" t="s">
        <v>550</v>
      </c>
      <c r="E70" s="311">
        <f>SUM(F70:H70)</f>
        <v>700</v>
      </c>
      <c r="F70" s="311">
        <v>0</v>
      </c>
      <c r="G70" s="311">
        <v>700</v>
      </c>
      <c r="H70" s="311">
        <v>0</v>
      </c>
      <c r="I70" s="311">
        <f t="shared" si="3"/>
        <v>0</v>
      </c>
      <c r="J70" s="311">
        <v>0</v>
      </c>
      <c r="K70" s="314">
        <v>0</v>
      </c>
      <c r="L70" s="311">
        <v>0</v>
      </c>
      <c r="M70" s="508"/>
      <c r="N70" s="508"/>
      <c r="O70" s="508"/>
      <c r="P70" s="508"/>
      <c r="Q70" s="508"/>
      <c r="R70" s="508"/>
      <c r="S70" s="508"/>
      <c r="T70" s="508"/>
      <c r="U70" s="508"/>
      <c r="V70" s="508"/>
      <c r="W70" s="508"/>
      <c r="X70" s="508"/>
      <c r="Y70" s="508"/>
      <c r="Z70" s="508"/>
      <c r="AA70" s="508"/>
      <c r="AB70" s="508"/>
      <c r="AC70" s="508"/>
      <c r="AD70" s="508"/>
      <c r="AE70" s="508"/>
      <c r="AF70" s="508"/>
      <c r="AG70" s="508"/>
      <c r="AH70" s="508"/>
      <c r="AI70" s="508"/>
      <c r="AJ70" s="508"/>
      <c r="AK70" s="508"/>
      <c r="AL70" s="508"/>
      <c r="AM70" s="508"/>
      <c r="AN70" s="508"/>
      <c r="AO70" s="508"/>
      <c r="AP70" s="508"/>
      <c r="AQ70" s="508"/>
      <c r="AR70" s="508"/>
      <c r="AS70" s="508"/>
      <c r="AT70" s="508"/>
      <c r="AU70" s="508"/>
      <c r="AV70" s="508"/>
      <c r="AW70" s="508"/>
      <c r="AX70" s="508"/>
      <c r="AY70" s="508"/>
      <c r="AZ70" s="508"/>
      <c r="BA70" s="508"/>
      <c r="BB70" s="508"/>
      <c r="BC70" s="508"/>
      <c r="BD70" s="508"/>
      <c r="BE70" s="508"/>
      <c r="BF70" s="508"/>
      <c r="BG70" s="508"/>
      <c r="BH70" s="508"/>
      <c r="BI70" s="508"/>
      <c r="BJ70" s="508"/>
      <c r="BK70" s="508"/>
      <c r="BL70" s="508"/>
      <c r="BM70" s="508"/>
      <c r="BN70" s="508"/>
      <c r="BO70" s="508"/>
      <c r="BP70" s="508"/>
      <c r="BQ70" s="508"/>
    </row>
    <row r="71" spans="1:69" s="510" customFormat="1" ht="29.25" customHeight="1">
      <c r="A71" s="507"/>
      <c r="B71" s="502" t="s">
        <v>646</v>
      </c>
      <c r="C71" s="503" t="s">
        <v>62</v>
      </c>
      <c r="D71" s="503" t="s">
        <v>550</v>
      </c>
      <c r="E71" s="311">
        <f>SUM(F71:H71)</f>
        <v>300</v>
      </c>
      <c r="F71" s="311">
        <v>0</v>
      </c>
      <c r="G71" s="311">
        <v>300</v>
      </c>
      <c r="H71" s="311">
        <v>0</v>
      </c>
      <c r="I71" s="311">
        <f t="shared" si="3"/>
        <v>0</v>
      </c>
      <c r="J71" s="311">
        <v>0</v>
      </c>
      <c r="K71" s="314">
        <v>0</v>
      </c>
      <c r="L71" s="311">
        <v>0</v>
      </c>
      <c r="M71" s="508"/>
      <c r="N71" s="508"/>
      <c r="O71" s="508"/>
      <c r="P71" s="508"/>
      <c r="Q71" s="508"/>
      <c r="R71" s="508"/>
      <c r="S71" s="508"/>
      <c r="T71" s="508"/>
      <c r="U71" s="508"/>
      <c r="V71" s="508"/>
      <c r="W71" s="508"/>
      <c r="X71" s="508"/>
      <c r="Y71" s="508"/>
      <c r="Z71" s="508"/>
      <c r="AA71" s="508"/>
      <c r="AB71" s="508"/>
      <c r="AC71" s="508"/>
      <c r="AD71" s="508"/>
      <c r="AE71" s="508"/>
      <c r="AF71" s="508"/>
      <c r="AG71" s="508"/>
      <c r="AH71" s="508"/>
      <c r="AI71" s="508"/>
      <c r="AJ71" s="508"/>
      <c r="AK71" s="508"/>
      <c r="AL71" s="508"/>
      <c r="AM71" s="508"/>
      <c r="AN71" s="508"/>
      <c r="AO71" s="508"/>
      <c r="AP71" s="508"/>
      <c r="AQ71" s="508"/>
      <c r="AR71" s="508"/>
      <c r="AS71" s="508"/>
      <c r="AT71" s="508"/>
      <c r="AU71" s="508"/>
      <c r="AV71" s="508"/>
      <c r="AW71" s="508"/>
      <c r="AX71" s="508"/>
      <c r="AY71" s="508"/>
      <c r="AZ71" s="508"/>
      <c r="BA71" s="508"/>
      <c r="BB71" s="508"/>
      <c r="BC71" s="508"/>
      <c r="BD71" s="508"/>
      <c r="BE71" s="508"/>
      <c r="BF71" s="508"/>
      <c r="BG71" s="508"/>
      <c r="BH71" s="508"/>
      <c r="BI71" s="508"/>
      <c r="BJ71" s="508"/>
      <c r="BK71" s="508"/>
      <c r="BL71" s="508"/>
      <c r="BM71" s="508"/>
      <c r="BN71" s="508"/>
      <c r="BO71" s="508"/>
      <c r="BP71" s="508"/>
      <c r="BQ71" s="508"/>
    </row>
    <row r="72" spans="1:69" s="475" customFormat="1" ht="115.5" customHeight="1">
      <c r="A72" s="471" t="s">
        <v>367</v>
      </c>
      <c r="B72" s="472" t="s">
        <v>572</v>
      </c>
      <c r="C72" s="473" t="s">
        <v>62</v>
      </c>
      <c r="D72" s="473" t="s">
        <v>543</v>
      </c>
      <c r="E72" s="437">
        <f t="shared" si="0"/>
        <v>420</v>
      </c>
      <c r="F72" s="437">
        <v>0</v>
      </c>
      <c r="G72" s="437">
        <v>0</v>
      </c>
      <c r="H72" s="437">
        <v>420</v>
      </c>
      <c r="I72" s="437">
        <f t="shared" si="3"/>
        <v>0</v>
      </c>
      <c r="J72" s="437">
        <v>0</v>
      </c>
      <c r="K72" s="439">
        <v>0</v>
      </c>
      <c r="L72" s="437">
        <v>0</v>
      </c>
      <c r="M72" s="474"/>
      <c r="N72" s="474"/>
      <c r="O72" s="474"/>
      <c r="P72" s="474"/>
      <c r="Q72" s="474"/>
      <c r="R72" s="474"/>
      <c r="S72" s="474"/>
      <c r="T72" s="474"/>
      <c r="U72" s="474"/>
      <c r="V72" s="474"/>
      <c r="W72" s="474"/>
      <c r="X72" s="474"/>
      <c r="Y72" s="474"/>
      <c r="Z72" s="474"/>
      <c r="AA72" s="474"/>
      <c r="AB72" s="474"/>
      <c r="AC72" s="474"/>
      <c r="AD72" s="474"/>
      <c r="AE72" s="474"/>
      <c r="AF72" s="474"/>
      <c r="AG72" s="474"/>
      <c r="AH72" s="474"/>
      <c r="AI72" s="474"/>
      <c r="AJ72" s="474"/>
      <c r="AK72" s="474"/>
      <c r="AL72" s="474"/>
      <c r="AM72" s="474"/>
      <c r="AN72" s="474"/>
      <c r="AO72" s="474"/>
      <c r="AP72" s="474"/>
      <c r="AQ72" s="474"/>
      <c r="AR72" s="474"/>
      <c r="AS72" s="474"/>
      <c r="AT72" s="474"/>
      <c r="AU72" s="474"/>
      <c r="AV72" s="474"/>
      <c r="AW72" s="474"/>
      <c r="AX72" s="474"/>
      <c r="AY72" s="474"/>
      <c r="AZ72" s="474"/>
      <c r="BA72" s="474"/>
      <c r="BB72" s="474"/>
      <c r="BC72" s="474"/>
      <c r="BD72" s="474"/>
      <c r="BE72" s="474"/>
      <c r="BF72" s="474"/>
      <c r="BG72" s="474"/>
      <c r="BH72" s="474"/>
      <c r="BI72" s="474"/>
      <c r="BJ72" s="474"/>
      <c r="BK72" s="474"/>
      <c r="BL72" s="474"/>
      <c r="BM72" s="474"/>
      <c r="BN72" s="474"/>
      <c r="BO72" s="474"/>
      <c r="BP72" s="474"/>
      <c r="BQ72" s="474"/>
    </row>
    <row r="73" spans="1:69" s="475" customFormat="1" ht="118.5" customHeight="1">
      <c r="A73" s="471" t="s">
        <v>514</v>
      </c>
      <c r="B73" s="472" t="s">
        <v>573</v>
      </c>
      <c r="C73" s="473" t="s">
        <v>599</v>
      </c>
      <c r="D73" s="473" t="s">
        <v>543</v>
      </c>
      <c r="E73" s="437">
        <f t="shared" si="0"/>
        <v>6841</v>
      </c>
      <c r="F73" s="437">
        <v>0</v>
      </c>
      <c r="G73" s="437">
        <v>0</v>
      </c>
      <c r="H73" s="437">
        <v>6841</v>
      </c>
      <c r="I73" s="437">
        <f t="shared" si="3"/>
        <v>1427.7439999999999</v>
      </c>
      <c r="J73" s="437">
        <v>0</v>
      </c>
      <c r="K73" s="439">
        <v>0</v>
      </c>
      <c r="L73" s="437">
        <v>1427.7439999999999</v>
      </c>
      <c r="M73" s="474"/>
      <c r="N73" s="474"/>
      <c r="O73" s="474"/>
      <c r="P73" s="474"/>
      <c r="Q73" s="474"/>
      <c r="R73" s="474"/>
      <c r="S73" s="474"/>
      <c r="T73" s="474"/>
      <c r="U73" s="474"/>
      <c r="V73" s="474"/>
      <c r="W73" s="474"/>
      <c r="X73" s="474"/>
      <c r="Y73" s="474"/>
      <c r="Z73" s="474"/>
      <c r="AA73" s="474"/>
      <c r="AB73" s="474"/>
      <c r="AC73" s="474"/>
      <c r="AD73" s="474"/>
      <c r="AE73" s="474"/>
      <c r="AF73" s="474"/>
      <c r="AG73" s="474"/>
      <c r="AH73" s="474"/>
      <c r="AI73" s="474"/>
      <c r="AJ73" s="474"/>
      <c r="AK73" s="474"/>
      <c r="AL73" s="474"/>
      <c r="AM73" s="474"/>
      <c r="AN73" s="474"/>
      <c r="AO73" s="474"/>
      <c r="AP73" s="474"/>
      <c r="AQ73" s="474"/>
      <c r="AR73" s="474"/>
      <c r="AS73" s="474"/>
      <c r="AT73" s="474"/>
      <c r="AU73" s="474"/>
      <c r="AV73" s="474"/>
      <c r="AW73" s="474"/>
      <c r="AX73" s="474"/>
      <c r="AY73" s="474"/>
      <c r="AZ73" s="474"/>
      <c r="BA73" s="474"/>
      <c r="BB73" s="474"/>
      <c r="BC73" s="474"/>
      <c r="BD73" s="474"/>
      <c r="BE73" s="474"/>
      <c r="BF73" s="474"/>
      <c r="BG73" s="474"/>
      <c r="BH73" s="474"/>
      <c r="BI73" s="474"/>
      <c r="BJ73" s="474"/>
      <c r="BK73" s="474"/>
      <c r="BL73" s="474"/>
      <c r="BM73" s="474"/>
      <c r="BN73" s="474"/>
      <c r="BO73" s="474"/>
      <c r="BP73" s="474"/>
      <c r="BQ73" s="474"/>
    </row>
    <row r="74" spans="1:69" s="470" customFormat="1" ht="68.25" customHeight="1">
      <c r="A74" s="464" t="s">
        <v>379</v>
      </c>
      <c r="B74" s="465" t="s">
        <v>574</v>
      </c>
      <c r="C74" s="466"/>
      <c r="D74" s="466"/>
      <c r="E74" s="435">
        <f>SUM(F74:H74)</f>
        <v>59240.05</v>
      </c>
      <c r="F74" s="435">
        <f>F75+F81+F82</f>
        <v>29969.599999999999</v>
      </c>
      <c r="G74" s="435">
        <f>G75+G81+G82</f>
        <v>28982.45</v>
      </c>
      <c r="H74" s="435">
        <f>H75+H81+H82</f>
        <v>288</v>
      </c>
      <c r="I74" s="435">
        <f t="shared" ref="I74:I82" si="5">SUM(J74:L74)</f>
        <v>2133.0207100000002</v>
      </c>
      <c r="J74" s="435">
        <f>J75+J81+J82</f>
        <v>762.22456</v>
      </c>
      <c r="K74" s="435">
        <f>K75+K81+K82</f>
        <v>0</v>
      </c>
      <c r="L74" s="435">
        <f>L75+L81+L82</f>
        <v>1370.7961500000001</v>
      </c>
      <c r="M74" s="468"/>
      <c r="N74" s="469"/>
      <c r="O74" s="468"/>
      <c r="P74" s="468"/>
      <c r="Q74" s="468"/>
      <c r="R74" s="468"/>
      <c r="S74" s="468"/>
      <c r="T74" s="468"/>
      <c r="U74" s="468"/>
      <c r="V74" s="468"/>
      <c r="W74" s="468"/>
      <c r="X74" s="468"/>
      <c r="Y74" s="468"/>
      <c r="Z74" s="468"/>
      <c r="AA74" s="468"/>
      <c r="AB74" s="468"/>
      <c r="AC74" s="468"/>
      <c r="AD74" s="468"/>
      <c r="AE74" s="468"/>
      <c r="AF74" s="468"/>
      <c r="AG74" s="468"/>
      <c r="AH74" s="468"/>
      <c r="AI74" s="468"/>
      <c r="AJ74" s="468"/>
      <c r="AK74" s="468"/>
      <c r="AL74" s="468"/>
      <c r="AM74" s="468"/>
      <c r="AN74" s="468"/>
      <c r="AO74" s="468"/>
      <c r="AP74" s="468"/>
      <c r="AQ74" s="468"/>
      <c r="AR74" s="468"/>
      <c r="AS74" s="468"/>
      <c r="AT74" s="468"/>
      <c r="AU74" s="468"/>
      <c r="AV74" s="468"/>
      <c r="AW74" s="468"/>
      <c r="AX74" s="468"/>
      <c r="AY74" s="468"/>
      <c r="AZ74" s="468"/>
      <c r="BA74" s="468"/>
      <c r="BB74" s="468"/>
      <c r="BC74" s="468"/>
      <c r="BD74" s="468"/>
      <c r="BE74" s="468"/>
      <c r="BF74" s="468"/>
      <c r="BG74" s="468"/>
      <c r="BH74" s="468"/>
      <c r="BI74" s="468"/>
      <c r="BJ74" s="468"/>
      <c r="BK74" s="468"/>
      <c r="BL74" s="468"/>
      <c r="BM74" s="468"/>
      <c r="BN74" s="468"/>
      <c r="BO74" s="468"/>
      <c r="BP74" s="468"/>
      <c r="BQ74" s="468"/>
    </row>
    <row r="75" spans="1:69" s="475" customFormat="1" ht="57.75" customHeight="1">
      <c r="A75" s="471" t="s">
        <v>380</v>
      </c>
      <c r="B75" s="472" t="s">
        <v>598</v>
      </c>
      <c r="C75" s="473" t="s">
        <v>62</v>
      </c>
      <c r="D75" s="473" t="s">
        <v>543</v>
      </c>
      <c r="E75" s="437">
        <f t="shared" si="0"/>
        <v>58952.05</v>
      </c>
      <c r="F75" s="438">
        <f>SUM(F76:F80)</f>
        <v>29969.599999999999</v>
      </c>
      <c r="G75" s="438">
        <f>SUM(G76:G80)</f>
        <v>28982.45</v>
      </c>
      <c r="H75" s="438">
        <f>SUM(H76:H80)</f>
        <v>0</v>
      </c>
      <c r="I75" s="437">
        <f t="shared" si="5"/>
        <v>949.97671000000003</v>
      </c>
      <c r="J75" s="437">
        <f>SUM(J76:J80)</f>
        <v>762.22456</v>
      </c>
      <c r="K75" s="437">
        <f>SUM(K76:K80)</f>
        <v>0</v>
      </c>
      <c r="L75" s="437">
        <f>SUM(L76:L80)</f>
        <v>187.75215000000003</v>
      </c>
      <c r="M75" s="474"/>
      <c r="N75" s="492"/>
      <c r="O75" s="474"/>
      <c r="P75" s="474"/>
      <c r="Q75" s="474"/>
      <c r="R75" s="474"/>
      <c r="S75" s="474"/>
      <c r="T75" s="474"/>
      <c r="U75" s="474"/>
      <c r="V75" s="474"/>
      <c r="W75" s="474"/>
      <c r="X75" s="474"/>
      <c r="Y75" s="474"/>
      <c r="Z75" s="474"/>
      <c r="AA75" s="474"/>
      <c r="AB75" s="474"/>
      <c r="AC75" s="474"/>
      <c r="AD75" s="474"/>
      <c r="AE75" s="474"/>
      <c r="AF75" s="474"/>
      <c r="AG75" s="474"/>
      <c r="AH75" s="474"/>
      <c r="AI75" s="474"/>
      <c r="AJ75" s="474"/>
      <c r="AK75" s="474"/>
      <c r="AL75" s="474"/>
      <c r="AM75" s="474"/>
      <c r="AN75" s="474"/>
      <c r="AO75" s="474"/>
      <c r="AP75" s="474"/>
      <c r="AQ75" s="474"/>
      <c r="AR75" s="474"/>
      <c r="AS75" s="474"/>
      <c r="AT75" s="474"/>
      <c r="AU75" s="474"/>
      <c r="AV75" s="474"/>
      <c r="AW75" s="474"/>
      <c r="AX75" s="474"/>
      <c r="AY75" s="474"/>
      <c r="AZ75" s="474"/>
      <c r="BA75" s="474"/>
      <c r="BB75" s="474"/>
      <c r="BC75" s="474"/>
      <c r="BD75" s="474"/>
      <c r="BE75" s="474"/>
      <c r="BF75" s="474"/>
      <c r="BG75" s="474"/>
      <c r="BH75" s="474"/>
      <c r="BI75" s="474"/>
      <c r="BJ75" s="474"/>
      <c r="BK75" s="474"/>
      <c r="BL75" s="474"/>
      <c r="BM75" s="474"/>
      <c r="BN75" s="474"/>
      <c r="BO75" s="474"/>
      <c r="BP75" s="474"/>
      <c r="BQ75" s="474"/>
    </row>
    <row r="76" spans="1:69" s="481" customFormat="1" ht="29.25" customHeight="1">
      <c r="A76" s="476"/>
      <c r="B76" s="482" t="s">
        <v>647</v>
      </c>
      <c r="C76" s="478" t="s">
        <v>62</v>
      </c>
      <c r="D76" s="478" t="s">
        <v>543</v>
      </c>
      <c r="E76" s="93">
        <f t="shared" si="0"/>
        <v>46871.24</v>
      </c>
      <c r="F76" s="93">
        <v>29969.599999999999</v>
      </c>
      <c r="G76" s="313">
        <v>16901.64</v>
      </c>
      <c r="H76" s="93">
        <v>0</v>
      </c>
      <c r="I76" s="93">
        <f t="shared" si="5"/>
        <v>80.91019</v>
      </c>
      <c r="J76" s="93">
        <v>0</v>
      </c>
      <c r="K76" s="313">
        <v>0</v>
      </c>
      <c r="L76" s="93">
        <f>80.91019</f>
        <v>80.91019</v>
      </c>
      <c r="M76" s="480"/>
      <c r="N76" s="498"/>
      <c r="O76" s="511"/>
      <c r="P76" s="480"/>
      <c r="Q76" s="480"/>
      <c r="R76" s="480"/>
      <c r="S76" s="480"/>
      <c r="T76" s="480"/>
      <c r="U76" s="480"/>
      <c r="V76" s="480"/>
      <c r="W76" s="480"/>
      <c r="X76" s="480"/>
      <c r="Y76" s="480"/>
      <c r="Z76" s="480"/>
      <c r="AA76" s="480"/>
      <c r="AB76" s="480"/>
      <c r="AC76" s="480"/>
      <c r="AD76" s="480"/>
      <c r="AE76" s="480"/>
      <c r="AF76" s="480"/>
      <c r="AG76" s="480"/>
      <c r="AH76" s="480"/>
      <c r="AI76" s="480"/>
      <c r="AJ76" s="480"/>
      <c r="AK76" s="480"/>
      <c r="AL76" s="480"/>
      <c r="AM76" s="480"/>
      <c r="AN76" s="480"/>
      <c r="AO76" s="480"/>
      <c r="AP76" s="480"/>
      <c r="AQ76" s="480"/>
      <c r="AR76" s="480"/>
      <c r="AS76" s="480"/>
      <c r="AT76" s="480"/>
      <c r="AU76" s="480"/>
      <c r="AV76" s="480"/>
      <c r="AW76" s="480"/>
      <c r="AX76" s="480"/>
      <c r="AY76" s="480"/>
      <c r="AZ76" s="480"/>
      <c r="BA76" s="480"/>
      <c r="BB76" s="480"/>
      <c r="BC76" s="480"/>
      <c r="BD76" s="480"/>
      <c r="BE76" s="480"/>
      <c r="BF76" s="480"/>
      <c r="BG76" s="480"/>
      <c r="BH76" s="480"/>
      <c r="BI76" s="480"/>
      <c r="BJ76" s="480"/>
      <c r="BK76" s="480"/>
      <c r="BL76" s="480"/>
      <c r="BM76" s="480"/>
      <c r="BN76" s="480"/>
      <c r="BO76" s="480"/>
      <c r="BP76" s="480"/>
      <c r="BQ76" s="480"/>
    </row>
    <row r="77" spans="1:69" s="481" customFormat="1" ht="19.5" customHeight="1">
      <c r="A77" s="476"/>
      <c r="B77" s="482" t="s">
        <v>648</v>
      </c>
      <c r="C77" s="478" t="s">
        <v>62</v>
      </c>
      <c r="D77" s="478" t="s">
        <v>543</v>
      </c>
      <c r="E77" s="93">
        <f t="shared" si="0"/>
        <v>9453.86</v>
      </c>
      <c r="F77" s="93">
        <v>0</v>
      </c>
      <c r="G77" s="313">
        <v>9453.86</v>
      </c>
      <c r="H77" s="93">
        <v>0</v>
      </c>
      <c r="I77" s="93">
        <f t="shared" si="5"/>
        <v>762.22456</v>
      </c>
      <c r="J77" s="93">
        <v>762.22456</v>
      </c>
      <c r="K77" s="313">
        <v>0</v>
      </c>
      <c r="L77" s="93">
        <v>0</v>
      </c>
      <c r="M77" s="480"/>
      <c r="N77" s="480"/>
      <c r="O77" s="480"/>
      <c r="P77" s="480"/>
      <c r="Q77" s="480"/>
      <c r="R77" s="480"/>
      <c r="S77" s="480"/>
      <c r="T77" s="480"/>
      <c r="U77" s="480"/>
      <c r="V77" s="480"/>
      <c r="W77" s="480"/>
      <c r="X77" s="480"/>
      <c r="Y77" s="480"/>
      <c r="Z77" s="480"/>
      <c r="AA77" s="480"/>
      <c r="AB77" s="480"/>
      <c r="AC77" s="480"/>
      <c r="AD77" s="480"/>
      <c r="AE77" s="480"/>
      <c r="AF77" s="480"/>
      <c r="AG77" s="480"/>
      <c r="AH77" s="480"/>
      <c r="AI77" s="480"/>
      <c r="AJ77" s="480"/>
      <c r="AK77" s="480"/>
      <c r="AL77" s="480"/>
      <c r="AM77" s="480"/>
      <c r="AN77" s="480"/>
      <c r="AO77" s="480"/>
      <c r="AP77" s="480"/>
      <c r="AQ77" s="480"/>
      <c r="AR77" s="480"/>
      <c r="AS77" s="480"/>
      <c r="AT77" s="480"/>
      <c r="AU77" s="480"/>
      <c r="AV77" s="480"/>
      <c r="AW77" s="480"/>
      <c r="AX77" s="480"/>
      <c r="AY77" s="480"/>
      <c r="AZ77" s="480"/>
      <c r="BA77" s="480"/>
      <c r="BB77" s="480"/>
      <c r="BC77" s="480"/>
      <c r="BD77" s="480"/>
      <c r="BE77" s="480"/>
      <c r="BF77" s="480"/>
      <c r="BG77" s="480"/>
      <c r="BH77" s="480"/>
      <c r="BI77" s="480"/>
      <c r="BJ77" s="480"/>
      <c r="BK77" s="480"/>
      <c r="BL77" s="480"/>
      <c r="BM77" s="480"/>
      <c r="BN77" s="480"/>
      <c r="BO77" s="480"/>
      <c r="BP77" s="480"/>
      <c r="BQ77" s="480"/>
    </row>
    <row r="78" spans="1:69" s="481" customFormat="1" ht="18.75" customHeight="1">
      <c r="A78" s="476"/>
      <c r="B78" s="482" t="s">
        <v>649</v>
      </c>
      <c r="C78" s="478" t="s">
        <v>62</v>
      </c>
      <c r="D78" s="478" t="s">
        <v>543</v>
      </c>
      <c r="E78" s="93">
        <f t="shared" si="0"/>
        <v>591.92999999999995</v>
      </c>
      <c r="F78" s="93">
        <v>0</v>
      </c>
      <c r="G78" s="313">
        <v>591.92999999999995</v>
      </c>
      <c r="H78" s="93">
        <v>0</v>
      </c>
      <c r="I78" s="93">
        <f t="shared" si="5"/>
        <v>0</v>
      </c>
      <c r="J78" s="93">
        <v>0</v>
      </c>
      <c r="K78" s="313">
        <v>0</v>
      </c>
      <c r="L78" s="93">
        <v>0</v>
      </c>
      <c r="M78" s="480"/>
      <c r="N78" s="480"/>
      <c r="O78" s="480"/>
      <c r="P78" s="480"/>
      <c r="Q78" s="480"/>
      <c r="R78" s="480"/>
      <c r="S78" s="480"/>
      <c r="T78" s="480"/>
      <c r="U78" s="480"/>
      <c r="V78" s="480"/>
      <c r="W78" s="480"/>
      <c r="X78" s="480"/>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0"/>
      <c r="AY78" s="480"/>
      <c r="AZ78" s="480"/>
      <c r="BA78" s="480"/>
      <c r="BB78" s="480"/>
      <c r="BC78" s="480"/>
      <c r="BD78" s="480"/>
      <c r="BE78" s="480"/>
      <c r="BF78" s="480"/>
      <c r="BG78" s="480"/>
      <c r="BH78" s="480"/>
      <c r="BI78" s="480"/>
      <c r="BJ78" s="480"/>
      <c r="BK78" s="480"/>
      <c r="BL78" s="480"/>
      <c r="BM78" s="480"/>
      <c r="BN78" s="480"/>
      <c r="BO78" s="480"/>
      <c r="BP78" s="480"/>
      <c r="BQ78" s="480"/>
    </row>
    <row r="79" spans="1:69" s="481" customFormat="1" ht="21" customHeight="1">
      <c r="A79" s="476"/>
      <c r="B79" s="482" t="s">
        <v>650</v>
      </c>
      <c r="C79" s="478" t="s">
        <v>62</v>
      </c>
      <c r="D79" s="478" t="s">
        <v>543</v>
      </c>
      <c r="E79" s="93">
        <f t="shared" si="0"/>
        <v>1415.64</v>
      </c>
      <c r="F79" s="93">
        <v>0</v>
      </c>
      <c r="G79" s="313">
        <v>1415.64</v>
      </c>
      <c r="H79" s="93">
        <v>0</v>
      </c>
      <c r="I79" s="93">
        <f t="shared" si="5"/>
        <v>106.84196000000001</v>
      </c>
      <c r="J79" s="93">
        <v>0</v>
      </c>
      <c r="K79" s="313">
        <v>0</v>
      </c>
      <c r="L79" s="93">
        <f>65.98797+7.44611+3.98873+29.41915</f>
        <v>106.84196000000001</v>
      </c>
      <c r="M79" s="480"/>
      <c r="N79" s="480"/>
      <c r="O79" s="480"/>
      <c r="P79" s="480"/>
      <c r="Q79" s="480"/>
      <c r="R79" s="480"/>
      <c r="S79" s="480"/>
      <c r="T79" s="480"/>
      <c r="U79" s="480"/>
      <c r="V79" s="480"/>
      <c r="W79" s="480"/>
      <c r="X79" s="480"/>
      <c r="Y79" s="480"/>
      <c r="Z79" s="480"/>
      <c r="AA79" s="480"/>
      <c r="AB79" s="480"/>
      <c r="AC79" s="480"/>
      <c r="AD79" s="480"/>
      <c r="AE79" s="480"/>
      <c r="AF79" s="480"/>
      <c r="AG79" s="480"/>
      <c r="AH79" s="480"/>
      <c r="AI79" s="480"/>
      <c r="AJ79" s="480"/>
      <c r="AK79" s="480"/>
      <c r="AL79" s="480"/>
      <c r="AM79" s="480"/>
      <c r="AN79" s="480"/>
      <c r="AO79" s="480"/>
      <c r="AP79" s="480"/>
      <c r="AQ79" s="480"/>
      <c r="AR79" s="480"/>
      <c r="AS79" s="480"/>
      <c r="AT79" s="480"/>
      <c r="AU79" s="480"/>
      <c r="AV79" s="480"/>
      <c r="AW79" s="480"/>
      <c r="AX79" s="480"/>
      <c r="AY79" s="480"/>
      <c r="AZ79" s="480"/>
      <c r="BA79" s="480"/>
      <c r="BB79" s="480"/>
      <c r="BC79" s="480"/>
      <c r="BD79" s="480"/>
      <c r="BE79" s="480"/>
      <c r="BF79" s="480"/>
      <c r="BG79" s="480"/>
      <c r="BH79" s="480"/>
      <c r="BI79" s="480"/>
      <c r="BJ79" s="480"/>
      <c r="BK79" s="480"/>
      <c r="BL79" s="480"/>
      <c r="BM79" s="480"/>
      <c r="BN79" s="480"/>
      <c r="BO79" s="480"/>
      <c r="BP79" s="480"/>
      <c r="BQ79" s="480"/>
    </row>
    <row r="80" spans="1:69" s="481" customFormat="1" ht="34.5" customHeight="1">
      <c r="A80" s="476"/>
      <c r="B80" s="482" t="s">
        <v>651</v>
      </c>
      <c r="C80" s="478" t="s">
        <v>62</v>
      </c>
      <c r="D80" s="478" t="s">
        <v>543</v>
      </c>
      <c r="E80" s="93">
        <f t="shared" si="0"/>
        <v>619.38</v>
      </c>
      <c r="F80" s="93">
        <v>0</v>
      </c>
      <c r="G80" s="313">
        <v>619.38</v>
      </c>
      <c r="H80" s="93">
        <v>0</v>
      </c>
      <c r="I80" s="93">
        <f t="shared" si="5"/>
        <v>0</v>
      </c>
      <c r="J80" s="93">
        <v>0</v>
      </c>
      <c r="K80" s="313">
        <v>0</v>
      </c>
      <c r="L80" s="93">
        <v>0</v>
      </c>
      <c r="M80" s="480"/>
      <c r="N80" s="480"/>
      <c r="O80" s="480"/>
      <c r="P80" s="480"/>
      <c r="Q80" s="480"/>
      <c r="R80" s="480"/>
      <c r="S80" s="480"/>
      <c r="T80" s="480"/>
      <c r="U80" s="480"/>
      <c r="V80" s="480"/>
      <c r="W80" s="480"/>
      <c r="X80" s="480"/>
      <c r="Y80" s="480"/>
      <c r="Z80" s="480"/>
      <c r="AA80" s="480"/>
      <c r="AB80" s="480"/>
      <c r="AC80" s="480"/>
      <c r="AD80" s="480"/>
      <c r="AE80" s="480"/>
      <c r="AF80" s="480"/>
      <c r="AG80" s="480"/>
      <c r="AH80" s="480"/>
      <c r="AI80" s="480"/>
      <c r="AJ80" s="480"/>
      <c r="AK80" s="480"/>
      <c r="AL80" s="480"/>
      <c r="AM80" s="480"/>
      <c r="AN80" s="480"/>
      <c r="AO80" s="480"/>
      <c r="AP80" s="480"/>
      <c r="AQ80" s="480"/>
      <c r="AR80" s="480"/>
      <c r="AS80" s="480"/>
      <c r="AT80" s="480"/>
      <c r="AU80" s="480"/>
      <c r="AV80" s="480"/>
      <c r="AW80" s="480"/>
      <c r="AX80" s="480"/>
      <c r="AY80" s="480"/>
      <c r="AZ80" s="480"/>
      <c r="BA80" s="480"/>
      <c r="BB80" s="480"/>
      <c r="BC80" s="480"/>
      <c r="BD80" s="480"/>
      <c r="BE80" s="480"/>
      <c r="BF80" s="480"/>
      <c r="BG80" s="480"/>
      <c r="BH80" s="480"/>
      <c r="BI80" s="480"/>
      <c r="BJ80" s="480"/>
      <c r="BK80" s="480"/>
      <c r="BL80" s="480"/>
      <c r="BM80" s="480"/>
      <c r="BN80" s="480"/>
      <c r="BO80" s="480"/>
      <c r="BP80" s="480"/>
      <c r="BQ80" s="480"/>
    </row>
    <row r="81" spans="1:69" s="475" customFormat="1" ht="54" customHeight="1">
      <c r="A81" s="471" t="s">
        <v>576</v>
      </c>
      <c r="B81" s="472" t="s">
        <v>577</v>
      </c>
      <c r="C81" s="473" t="s">
        <v>575</v>
      </c>
      <c r="D81" s="473" t="s">
        <v>543</v>
      </c>
      <c r="E81" s="437">
        <f>SUM(F81:H81)</f>
        <v>0</v>
      </c>
      <c r="F81" s="437">
        <v>0</v>
      </c>
      <c r="G81" s="437">
        <v>0</v>
      </c>
      <c r="H81" s="438">
        <v>0</v>
      </c>
      <c r="I81" s="437">
        <f t="shared" si="5"/>
        <v>1183.0440000000001</v>
      </c>
      <c r="J81" s="437">
        <v>0</v>
      </c>
      <c r="K81" s="439">
        <v>0</v>
      </c>
      <c r="L81" s="437">
        <v>1183.0440000000001</v>
      </c>
      <c r="M81" s="474"/>
      <c r="N81" s="474"/>
      <c r="O81" s="474"/>
      <c r="P81" s="474"/>
      <c r="Q81" s="474"/>
      <c r="R81" s="474"/>
      <c r="S81" s="474"/>
      <c r="T81" s="474"/>
      <c r="U81" s="474"/>
      <c r="V81" s="474"/>
      <c r="W81" s="474"/>
      <c r="X81" s="474"/>
      <c r="Y81" s="474"/>
      <c r="Z81" s="474"/>
      <c r="AA81" s="474"/>
      <c r="AB81" s="474"/>
      <c r="AC81" s="474"/>
      <c r="AD81" s="474"/>
      <c r="AE81" s="474"/>
      <c r="AF81" s="474"/>
      <c r="AG81" s="474"/>
      <c r="AH81" s="474"/>
      <c r="AI81" s="474"/>
      <c r="AJ81" s="474"/>
      <c r="AK81" s="474"/>
      <c r="AL81" s="474"/>
      <c r="AM81" s="474"/>
      <c r="AN81" s="474"/>
      <c r="AO81" s="474"/>
      <c r="AP81" s="474"/>
      <c r="AQ81" s="474"/>
      <c r="AR81" s="474"/>
      <c r="AS81" s="474"/>
      <c r="AT81" s="474"/>
      <c r="AU81" s="474"/>
      <c r="AV81" s="474"/>
      <c r="AW81" s="474"/>
      <c r="AX81" s="474"/>
      <c r="AY81" s="474"/>
      <c r="AZ81" s="474"/>
      <c r="BA81" s="474"/>
      <c r="BB81" s="474"/>
      <c r="BC81" s="474"/>
      <c r="BD81" s="474"/>
      <c r="BE81" s="474"/>
      <c r="BF81" s="474"/>
      <c r="BG81" s="474"/>
      <c r="BH81" s="474"/>
      <c r="BI81" s="474"/>
      <c r="BJ81" s="474"/>
      <c r="BK81" s="474"/>
      <c r="BL81" s="474"/>
      <c r="BM81" s="474"/>
      <c r="BN81" s="474"/>
      <c r="BO81" s="474"/>
      <c r="BP81" s="474"/>
      <c r="BQ81" s="474"/>
    </row>
    <row r="82" spans="1:69" s="475" customFormat="1" ht="99.75" customHeight="1">
      <c r="A82" s="471" t="s">
        <v>384</v>
      </c>
      <c r="B82" s="472" t="s">
        <v>578</v>
      </c>
      <c r="C82" s="473" t="s">
        <v>62</v>
      </c>
      <c r="D82" s="473" t="s">
        <v>543</v>
      </c>
      <c r="E82" s="437">
        <f>SUM(F82:H82)</f>
        <v>288</v>
      </c>
      <c r="F82" s="437">
        <v>0</v>
      </c>
      <c r="G82" s="437">
        <v>0</v>
      </c>
      <c r="H82" s="438">
        <v>288</v>
      </c>
      <c r="I82" s="437">
        <f t="shared" si="5"/>
        <v>0</v>
      </c>
      <c r="J82" s="437">
        <v>0</v>
      </c>
      <c r="K82" s="439">
        <v>0</v>
      </c>
      <c r="L82" s="472">
        <v>0</v>
      </c>
      <c r="M82" s="474"/>
      <c r="N82" s="474"/>
      <c r="O82" s="474"/>
      <c r="P82" s="474"/>
      <c r="Q82" s="474"/>
      <c r="R82" s="474"/>
      <c r="S82" s="474"/>
      <c r="T82" s="474"/>
      <c r="U82" s="474"/>
      <c r="V82" s="474"/>
      <c r="W82" s="474"/>
      <c r="X82" s="474"/>
      <c r="Y82" s="474"/>
      <c r="Z82" s="474"/>
      <c r="AA82" s="474"/>
      <c r="AB82" s="474"/>
      <c r="AC82" s="474"/>
      <c r="AD82" s="474"/>
      <c r="AE82" s="474"/>
      <c r="AF82" s="474"/>
      <c r="AG82" s="474"/>
      <c r="AH82" s="474"/>
      <c r="AI82" s="474"/>
      <c r="AJ82" s="474"/>
      <c r="AK82" s="474"/>
      <c r="AL82" s="474"/>
      <c r="AM82" s="474"/>
      <c r="AN82" s="474"/>
      <c r="AO82" s="474"/>
      <c r="AP82" s="474"/>
      <c r="AQ82" s="474"/>
      <c r="AR82" s="474"/>
      <c r="AS82" s="474"/>
      <c r="AT82" s="474"/>
      <c r="AU82" s="474"/>
      <c r="AV82" s="474"/>
      <c r="AW82" s="474"/>
      <c r="AX82" s="474"/>
      <c r="AY82" s="474"/>
      <c r="AZ82" s="474"/>
      <c r="BA82" s="474"/>
      <c r="BB82" s="474"/>
      <c r="BC82" s="474"/>
      <c r="BD82" s="474"/>
      <c r="BE82" s="474"/>
      <c r="BF82" s="474"/>
      <c r="BG82" s="474"/>
      <c r="BH82" s="474"/>
      <c r="BI82" s="474"/>
      <c r="BJ82" s="474"/>
      <c r="BK82" s="474"/>
      <c r="BL82" s="474"/>
      <c r="BM82" s="474"/>
      <c r="BN82" s="474"/>
      <c r="BO82" s="474"/>
      <c r="BP82" s="474"/>
      <c r="BQ82" s="474"/>
    </row>
    <row r="83" spans="1:69" s="463" customFormat="1" ht="18.75" customHeight="1">
      <c r="A83" s="1036" t="s">
        <v>7</v>
      </c>
      <c r="B83" s="1036"/>
      <c r="C83" s="1036"/>
      <c r="D83" s="1036"/>
      <c r="E83" s="95">
        <f>SUM(F83:H83)</f>
        <v>321848.50131000002</v>
      </c>
      <c r="F83" s="297">
        <f>F12+F32+F43+F64+F74</f>
        <v>102576.70999999999</v>
      </c>
      <c r="G83" s="297">
        <f>G12+G32+G43+G64+G74</f>
        <v>47885.211309999999</v>
      </c>
      <c r="H83" s="297">
        <f>H12+H32+H43+H64+H74</f>
        <v>171386.58000000002</v>
      </c>
      <c r="I83" s="111">
        <f>SUM(J83:L83)</f>
        <v>33536.99596</v>
      </c>
      <c r="J83" s="111">
        <f>J12+J32+J43+J64+J74</f>
        <v>17349.859659999998</v>
      </c>
      <c r="K83" s="111">
        <f>K12+K32+K43+K64+K74</f>
        <v>428.4</v>
      </c>
      <c r="L83" s="111">
        <f>L12+L32+L43+L64+L74</f>
        <v>15758.736300000002</v>
      </c>
      <c r="M83" s="462"/>
      <c r="N83" s="462"/>
      <c r="O83" s="462"/>
      <c r="P83" s="462"/>
      <c r="Q83" s="462"/>
      <c r="R83" s="462"/>
      <c r="S83" s="462"/>
      <c r="T83" s="462"/>
      <c r="U83" s="462"/>
      <c r="V83" s="462"/>
      <c r="W83" s="462"/>
      <c r="X83" s="462"/>
      <c r="Y83" s="462"/>
      <c r="Z83" s="462"/>
      <c r="AA83" s="462"/>
      <c r="AB83" s="462"/>
      <c r="AC83" s="462"/>
      <c r="AD83" s="462"/>
      <c r="AE83" s="462"/>
      <c r="AF83" s="462"/>
      <c r="AG83" s="462"/>
      <c r="AH83" s="462"/>
      <c r="AI83" s="462"/>
      <c r="AJ83" s="462"/>
      <c r="AK83" s="462"/>
      <c r="AL83" s="462"/>
      <c r="AM83" s="462"/>
      <c r="AN83" s="462"/>
      <c r="AO83" s="462"/>
      <c r="AP83" s="462"/>
      <c r="AQ83" s="462"/>
      <c r="AR83" s="462"/>
      <c r="AS83" s="462"/>
      <c r="AT83" s="462"/>
      <c r="AU83" s="462"/>
      <c r="AV83" s="462"/>
      <c r="AW83" s="462"/>
      <c r="AX83" s="462"/>
      <c r="AY83" s="462"/>
      <c r="AZ83" s="462"/>
      <c r="BA83" s="462"/>
      <c r="BB83" s="462"/>
      <c r="BC83" s="462"/>
      <c r="BD83" s="462"/>
      <c r="BE83" s="462"/>
      <c r="BF83" s="462"/>
      <c r="BG83" s="462"/>
      <c r="BH83" s="462"/>
      <c r="BI83" s="462"/>
      <c r="BJ83" s="462"/>
      <c r="BK83" s="462"/>
      <c r="BL83" s="462"/>
      <c r="BM83" s="462"/>
      <c r="BN83" s="462"/>
      <c r="BO83" s="462"/>
      <c r="BP83" s="462"/>
      <c r="BQ83" s="462"/>
    </row>
    <row r="84" spans="1:69">
      <c r="A84" s="403"/>
      <c r="G84" s="317"/>
      <c r="L84" s="316"/>
    </row>
    <row r="85" spans="1:69" s="424" customFormat="1" ht="18.75">
      <c r="B85" s="455" t="s">
        <v>406</v>
      </c>
      <c r="C85" s="456" t="s">
        <v>407</v>
      </c>
      <c r="H85" s="425"/>
      <c r="I85" s="426"/>
      <c r="J85" s="426"/>
      <c r="K85" s="426"/>
      <c r="L85" s="426"/>
      <c r="M85" s="426"/>
      <c r="N85" s="426"/>
      <c r="O85" s="426"/>
      <c r="P85" s="426"/>
      <c r="Q85" s="426"/>
      <c r="R85" s="426"/>
      <c r="S85" s="426"/>
      <c r="T85" s="426"/>
      <c r="U85" s="426"/>
      <c r="V85" s="426"/>
      <c r="W85" s="426"/>
      <c r="X85" s="426"/>
    </row>
    <row r="86" spans="1:69" s="424" customFormat="1" ht="29.25" customHeight="1">
      <c r="B86" s="455"/>
      <c r="C86" s="456"/>
      <c r="H86" s="425"/>
      <c r="I86" s="426"/>
      <c r="J86" s="426"/>
      <c r="K86" s="426"/>
      <c r="L86" s="426"/>
      <c r="M86" s="426"/>
      <c r="N86" s="426"/>
      <c r="O86" s="426"/>
      <c r="P86" s="426"/>
      <c r="Q86" s="426"/>
      <c r="R86" s="426"/>
      <c r="S86" s="426"/>
      <c r="T86" s="426"/>
      <c r="U86" s="426"/>
      <c r="V86" s="426"/>
      <c r="W86" s="426"/>
      <c r="X86" s="426"/>
    </row>
    <row r="87" spans="1:69" s="427" customFormat="1" ht="16.5" customHeight="1">
      <c r="B87" s="457" t="s">
        <v>683</v>
      </c>
      <c r="C87" s="458"/>
      <c r="H87" s="340"/>
      <c r="I87" s="362"/>
      <c r="J87" s="362"/>
      <c r="K87" s="362"/>
      <c r="L87" s="362"/>
      <c r="M87" s="362"/>
      <c r="N87" s="362"/>
      <c r="O87" s="362"/>
      <c r="P87" s="362"/>
      <c r="Q87" s="362"/>
      <c r="R87" s="362"/>
      <c r="S87" s="362"/>
      <c r="T87" s="362"/>
      <c r="U87" s="362"/>
      <c r="V87" s="362"/>
      <c r="W87" s="362"/>
      <c r="X87" s="362"/>
    </row>
    <row r="88" spans="1:69" s="341" customFormat="1" ht="16.5" customHeight="1">
      <c r="B88" s="414"/>
      <c r="C88" s="415"/>
      <c r="H88" s="340"/>
      <c r="I88" s="289"/>
      <c r="J88" s="289"/>
      <c r="K88" s="289"/>
      <c r="L88" s="289"/>
      <c r="M88" s="289"/>
      <c r="N88" s="289"/>
      <c r="O88" s="289"/>
      <c r="P88" s="289"/>
      <c r="Q88" s="289"/>
      <c r="R88" s="289"/>
      <c r="S88" s="289"/>
      <c r="T88" s="289"/>
      <c r="U88" s="289"/>
      <c r="V88" s="289"/>
      <c r="W88" s="289"/>
      <c r="X88" s="289"/>
    </row>
    <row r="89" spans="1:69">
      <c r="A89" s="403"/>
      <c r="L89" s="316"/>
    </row>
    <row r="90" spans="1:69">
      <c r="A90" s="62" t="s">
        <v>8</v>
      </c>
      <c r="B90" s="63"/>
      <c r="C90" s="64"/>
      <c r="D90" s="64"/>
      <c r="E90" s="102"/>
      <c r="F90" s="103"/>
      <c r="G90" s="104"/>
      <c r="H90" s="104"/>
      <c r="I90" s="101"/>
      <c r="J90" s="101"/>
      <c r="L90" s="316"/>
    </row>
    <row r="91" spans="1:69">
      <c r="A91" s="65"/>
      <c r="B91" s="66"/>
      <c r="C91" s="67"/>
      <c r="D91" s="67"/>
      <c r="E91" s="102"/>
      <c r="F91" s="103"/>
      <c r="G91" s="104"/>
      <c r="H91" s="104"/>
      <c r="I91" s="104"/>
      <c r="J91" s="104" t="s">
        <v>9</v>
      </c>
      <c r="L91" s="316"/>
    </row>
    <row r="92" spans="1:69">
      <c r="A92" s="65"/>
      <c r="B92" s="983" t="s">
        <v>10</v>
      </c>
      <c r="C92" s="984"/>
      <c r="D92" s="985"/>
      <c r="E92" s="986" t="s">
        <v>11</v>
      </c>
      <c r="F92" s="987"/>
      <c r="G92" s="988"/>
      <c r="H92" s="986" t="s">
        <v>12</v>
      </c>
      <c r="I92" s="987"/>
      <c r="J92" s="988"/>
    </row>
    <row r="93" spans="1:69" ht="31.5">
      <c r="A93" s="65"/>
      <c r="B93" s="68" t="s">
        <v>13</v>
      </c>
      <c r="C93" s="68" t="s">
        <v>14</v>
      </c>
      <c r="D93" s="68" t="s">
        <v>15</v>
      </c>
      <c r="E93" s="105" t="s">
        <v>13</v>
      </c>
      <c r="F93" s="105" t="s">
        <v>14</v>
      </c>
      <c r="G93" s="105" t="s">
        <v>15</v>
      </c>
      <c r="H93" s="105" t="s">
        <v>13</v>
      </c>
      <c r="I93" s="105" t="s">
        <v>14</v>
      </c>
      <c r="J93" s="105" t="s">
        <v>15</v>
      </c>
    </row>
    <row r="94" spans="1:69">
      <c r="A94" s="69"/>
      <c r="B94" s="106">
        <f>SUM(C94:D94)</f>
        <v>321848.50131000002</v>
      </c>
      <c r="C94" s="106">
        <f>G83</f>
        <v>47885.211309999999</v>
      </c>
      <c r="D94" s="70">
        <f>H83+F83</f>
        <v>273963.29000000004</v>
      </c>
      <c r="E94" s="296">
        <f>SUM(F94:G94)</f>
        <v>33536.99596</v>
      </c>
      <c r="F94" s="296">
        <f>K83</f>
        <v>428.4</v>
      </c>
      <c r="G94" s="296">
        <f>J83+L83</f>
        <v>33108.595959999999</v>
      </c>
      <c r="H94" s="297">
        <f>B94-E94</f>
        <v>288311.50534999999</v>
      </c>
      <c r="I94" s="107">
        <f>F94-C94</f>
        <v>-47456.811309999997</v>
      </c>
      <c r="J94" s="107">
        <f>G94-D94</f>
        <v>-240854.69404000003</v>
      </c>
    </row>
    <row r="95" spans="1:69">
      <c r="A95" s="403"/>
      <c r="C95" s="512"/>
    </row>
    <row r="96" spans="1:69">
      <c r="A96" s="403"/>
    </row>
    <row r="97" spans="1:5">
      <c r="A97" s="403"/>
    </row>
    <row r="98" spans="1:5">
      <c r="A98" s="403"/>
      <c r="E98" s="420"/>
    </row>
    <row r="99" spans="1:5">
      <c r="A99" s="403"/>
    </row>
    <row r="100" spans="1:5">
      <c r="A100" s="403"/>
    </row>
    <row r="101" spans="1:5">
      <c r="A101" s="403"/>
    </row>
    <row r="102" spans="1:5">
      <c r="A102" s="403"/>
    </row>
    <row r="103" spans="1:5">
      <c r="A103" s="403"/>
    </row>
    <row r="104" spans="1:5">
      <c r="A104" s="403"/>
    </row>
    <row r="105" spans="1:5">
      <c r="A105" s="403"/>
    </row>
    <row r="106" spans="1:5">
      <c r="A106" s="403"/>
    </row>
    <row r="107" spans="1:5">
      <c r="A107" s="403"/>
    </row>
    <row r="108" spans="1:5">
      <c r="A108" s="403"/>
    </row>
    <row r="109" spans="1:5">
      <c r="A109" s="403"/>
    </row>
    <row r="110" spans="1:5">
      <c r="A110" s="403"/>
    </row>
    <row r="111" spans="1:5">
      <c r="A111" s="403"/>
    </row>
    <row r="112" spans="1:5">
      <c r="A112" s="403"/>
    </row>
    <row r="113" spans="1:1">
      <c r="A113" s="403"/>
    </row>
    <row r="114" spans="1:1">
      <c r="A114" s="403"/>
    </row>
    <row r="115" spans="1:1">
      <c r="A115" s="403"/>
    </row>
    <row r="116" spans="1:1">
      <c r="A116" s="403"/>
    </row>
    <row r="117" spans="1:1">
      <c r="A117" s="403"/>
    </row>
    <row r="118" spans="1:1">
      <c r="A118" s="403"/>
    </row>
    <row r="119" spans="1:1">
      <c r="A119" s="403"/>
    </row>
    <row r="120" spans="1:1">
      <c r="A120" s="403"/>
    </row>
    <row r="121" spans="1:1">
      <c r="A121" s="403"/>
    </row>
    <row r="122" spans="1:1">
      <c r="A122" s="403"/>
    </row>
    <row r="123" spans="1:1">
      <c r="A123" s="403"/>
    </row>
    <row r="124" spans="1:1">
      <c r="A124" s="403"/>
    </row>
    <row r="125" spans="1:1">
      <c r="A125" s="403"/>
    </row>
    <row r="126" spans="1:1">
      <c r="A126" s="403"/>
    </row>
    <row r="127" spans="1:1">
      <c r="A127" s="403"/>
    </row>
    <row r="128" spans="1:1">
      <c r="A128" s="403"/>
    </row>
    <row r="129" spans="1:1">
      <c r="A129" s="403"/>
    </row>
    <row r="130" spans="1:1">
      <c r="A130" s="403"/>
    </row>
    <row r="131" spans="1:1">
      <c r="A131" s="403"/>
    </row>
    <row r="132" spans="1:1">
      <c r="A132" s="403"/>
    </row>
    <row r="133" spans="1:1">
      <c r="A133" s="403"/>
    </row>
    <row r="134" spans="1:1">
      <c r="A134" s="403"/>
    </row>
    <row r="135" spans="1:1">
      <c r="A135" s="403"/>
    </row>
    <row r="136" spans="1:1">
      <c r="A136" s="403"/>
    </row>
    <row r="137" spans="1:1">
      <c r="A137" s="403"/>
    </row>
    <row r="138" spans="1:1">
      <c r="A138" s="403"/>
    </row>
    <row r="139" spans="1:1">
      <c r="A139" s="403"/>
    </row>
    <row r="140" spans="1:1">
      <c r="A140" s="403"/>
    </row>
    <row r="141" spans="1:1">
      <c r="A141" s="403"/>
    </row>
    <row r="142" spans="1:1">
      <c r="A142" s="403"/>
    </row>
    <row r="143" spans="1:1">
      <c r="A143" s="403"/>
    </row>
    <row r="144" spans="1:1">
      <c r="A144" s="403"/>
    </row>
    <row r="145" spans="1:1">
      <c r="A145" s="403"/>
    </row>
    <row r="146" spans="1:1">
      <c r="A146" s="403"/>
    </row>
    <row r="147" spans="1:1">
      <c r="A147" s="403"/>
    </row>
    <row r="148" spans="1:1">
      <c r="A148" s="403"/>
    </row>
    <row r="149" spans="1:1">
      <c r="A149" s="403"/>
    </row>
    <row r="150" spans="1:1">
      <c r="A150" s="403"/>
    </row>
    <row r="151" spans="1:1">
      <c r="A151" s="403"/>
    </row>
    <row r="152" spans="1:1">
      <c r="A152" s="403"/>
    </row>
    <row r="153" spans="1:1">
      <c r="A153" s="403"/>
    </row>
    <row r="154" spans="1:1">
      <c r="A154" s="403"/>
    </row>
    <row r="155" spans="1:1">
      <c r="A155" s="403"/>
    </row>
    <row r="156" spans="1:1">
      <c r="A156" s="403"/>
    </row>
    <row r="157" spans="1:1">
      <c r="A157" s="403"/>
    </row>
    <row r="158" spans="1:1">
      <c r="A158" s="403"/>
    </row>
    <row r="159" spans="1:1">
      <c r="A159" s="403"/>
    </row>
    <row r="160" spans="1:1">
      <c r="A160" s="403"/>
    </row>
    <row r="161" spans="1:1">
      <c r="A161" s="403"/>
    </row>
    <row r="162" spans="1:1">
      <c r="A162" s="403"/>
    </row>
    <row r="163" spans="1:1">
      <c r="A163" s="403"/>
    </row>
    <row r="164" spans="1:1">
      <c r="A164" s="403"/>
    </row>
    <row r="165" spans="1:1">
      <c r="A165" s="403"/>
    </row>
    <row r="166" spans="1:1">
      <c r="A166" s="403"/>
    </row>
    <row r="167" spans="1:1">
      <c r="A167" s="403"/>
    </row>
    <row r="168" spans="1:1">
      <c r="A168" s="403"/>
    </row>
    <row r="169" spans="1:1">
      <c r="A169" s="403"/>
    </row>
    <row r="170" spans="1:1">
      <c r="A170" s="403"/>
    </row>
    <row r="171" spans="1:1">
      <c r="A171" s="403"/>
    </row>
    <row r="172" spans="1:1">
      <c r="A172" s="403"/>
    </row>
    <row r="173" spans="1:1">
      <c r="A173" s="403"/>
    </row>
    <row r="174" spans="1:1">
      <c r="A174" s="403"/>
    </row>
    <row r="175" spans="1:1">
      <c r="A175" s="403"/>
    </row>
    <row r="176" spans="1:1">
      <c r="A176" s="403"/>
    </row>
    <row r="177" spans="1:1">
      <c r="A177" s="403"/>
    </row>
    <row r="178" spans="1:1">
      <c r="A178" s="403"/>
    </row>
    <row r="179" spans="1:1">
      <c r="A179" s="403"/>
    </row>
    <row r="180" spans="1:1">
      <c r="A180" s="403"/>
    </row>
    <row r="181" spans="1:1">
      <c r="A181" s="403"/>
    </row>
    <row r="182" spans="1:1">
      <c r="A182" s="403"/>
    </row>
    <row r="183" spans="1:1">
      <c r="A183" s="403"/>
    </row>
    <row r="184" spans="1:1">
      <c r="A184" s="403"/>
    </row>
    <row r="185" spans="1:1">
      <c r="A185" s="403"/>
    </row>
    <row r="186" spans="1:1">
      <c r="A186" s="403"/>
    </row>
    <row r="187" spans="1:1">
      <c r="A187" s="403"/>
    </row>
    <row r="188" spans="1:1">
      <c r="A188" s="403"/>
    </row>
    <row r="189" spans="1:1">
      <c r="A189" s="403"/>
    </row>
    <row r="190" spans="1:1">
      <c r="A190" s="403"/>
    </row>
    <row r="191" spans="1:1">
      <c r="A191" s="403"/>
    </row>
    <row r="192" spans="1:1">
      <c r="A192" s="403"/>
    </row>
    <row r="193" spans="1:1">
      <c r="A193" s="403"/>
    </row>
    <row r="194" spans="1:1">
      <c r="A194" s="403"/>
    </row>
    <row r="195" spans="1:1">
      <c r="A195" s="403"/>
    </row>
    <row r="196" spans="1:1">
      <c r="A196" s="403"/>
    </row>
    <row r="197" spans="1:1">
      <c r="A197" s="403"/>
    </row>
    <row r="198" spans="1:1">
      <c r="A198" s="403"/>
    </row>
    <row r="199" spans="1:1">
      <c r="A199" s="403"/>
    </row>
    <row r="200" spans="1:1">
      <c r="A200" s="403"/>
    </row>
    <row r="201" spans="1:1">
      <c r="A201" s="403"/>
    </row>
    <row r="202" spans="1:1">
      <c r="A202" s="403"/>
    </row>
    <row r="203" spans="1:1">
      <c r="A203" s="403"/>
    </row>
    <row r="204" spans="1:1">
      <c r="A204" s="403"/>
    </row>
    <row r="205" spans="1:1">
      <c r="A205" s="403"/>
    </row>
    <row r="206" spans="1:1">
      <c r="A206" s="403"/>
    </row>
    <row r="207" spans="1:1">
      <c r="A207" s="403"/>
    </row>
    <row r="208" spans="1:1">
      <c r="A208" s="403"/>
    </row>
    <row r="209" spans="1:1">
      <c r="A209" s="403"/>
    </row>
    <row r="210" spans="1:1">
      <c r="A210" s="403"/>
    </row>
    <row r="211" spans="1:1">
      <c r="A211" s="403"/>
    </row>
    <row r="212" spans="1:1">
      <c r="A212" s="403"/>
    </row>
    <row r="213" spans="1:1">
      <c r="A213" s="403"/>
    </row>
    <row r="214" spans="1:1">
      <c r="A214" s="403"/>
    </row>
    <row r="215" spans="1:1">
      <c r="A215" s="403"/>
    </row>
    <row r="216" spans="1:1">
      <c r="A216" s="403"/>
    </row>
    <row r="217" spans="1:1">
      <c r="A217" s="403"/>
    </row>
    <row r="218" spans="1:1">
      <c r="A218" s="403"/>
    </row>
    <row r="219" spans="1:1">
      <c r="A219" s="403"/>
    </row>
    <row r="220" spans="1:1">
      <c r="A220" s="403"/>
    </row>
    <row r="221" spans="1:1">
      <c r="A221" s="403"/>
    </row>
    <row r="222" spans="1:1">
      <c r="A222" s="403"/>
    </row>
    <row r="223" spans="1:1">
      <c r="A223" s="403"/>
    </row>
    <row r="224" spans="1:1">
      <c r="A224" s="403"/>
    </row>
    <row r="225" spans="1:1">
      <c r="A225" s="403"/>
    </row>
    <row r="226" spans="1:1">
      <c r="A226" s="403"/>
    </row>
    <row r="227" spans="1:1">
      <c r="A227" s="403"/>
    </row>
    <row r="228" spans="1:1">
      <c r="A228" s="403"/>
    </row>
    <row r="229" spans="1:1">
      <c r="A229" s="403"/>
    </row>
    <row r="230" spans="1:1">
      <c r="A230" s="403"/>
    </row>
    <row r="231" spans="1:1">
      <c r="A231" s="403"/>
    </row>
    <row r="232" spans="1:1">
      <c r="A232" s="403"/>
    </row>
    <row r="233" spans="1:1">
      <c r="A233" s="403"/>
    </row>
    <row r="234" spans="1:1">
      <c r="A234" s="403"/>
    </row>
    <row r="235" spans="1:1">
      <c r="A235" s="403"/>
    </row>
    <row r="236" spans="1:1">
      <c r="A236" s="403"/>
    </row>
    <row r="237" spans="1:1">
      <c r="A237" s="403"/>
    </row>
    <row r="238" spans="1:1">
      <c r="A238" s="403"/>
    </row>
    <row r="239" spans="1:1">
      <c r="A239" s="403"/>
    </row>
    <row r="240" spans="1:1">
      <c r="A240" s="403"/>
    </row>
    <row r="241" spans="1:1">
      <c r="A241" s="403"/>
    </row>
    <row r="242" spans="1:1">
      <c r="A242" s="403"/>
    </row>
    <row r="243" spans="1:1">
      <c r="A243" s="403"/>
    </row>
    <row r="244" spans="1:1">
      <c r="A244" s="403"/>
    </row>
    <row r="245" spans="1:1">
      <c r="A245" s="403"/>
    </row>
    <row r="246" spans="1:1">
      <c r="A246" s="403"/>
    </row>
    <row r="247" spans="1:1">
      <c r="A247" s="403"/>
    </row>
    <row r="248" spans="1:1">
      <c r="A248" s="403"/>
    </row>
    <row r="249" spans="1:1">
      <c r="A249" s="403"/>
    </row>
    <row r="250" spans="1:1">
      <c r="A250" s="403"/>
    </row>
    <row r="251" spans="1:1">
      <c r="A251" s="403"/>
    </row>
    <row r="252" spans="1:1">
      <c r="A252" s="403"/>
    </row>
    <row r="253" spans="1:1">
      <c r="A253" s="403"/>
    </row>
    <row r="254" spans="1:1">
      <c r="A254" s="403"/>
    </row>
    <row r="255" spans="1:1">
      <c r="A255" s="403"/>
    </row>
    <row r="256" spans="1:1">
      <c r="A256" s="403"/>
    </row>
    <row r="257" spans="1:1">
      <c r="A257" s="403"/>
    </row>
    <row r="258" spans="1:1">
      <c r="A258" s="403"/>
    </row>
    <row r="259" spans="1:1">
      <c r="A259" s="403"/>
    </row>
    <row r="260" spans="1:1">
      <c r="A260" s="403"/>
    </row>
    <row r="261" spans="1:1">
      <c r="A261" s="403"/>
    </row>
    <row r="262" spans="1:1">
      <c r="A262" s="403"/>
    </row>
    <row r="263" spans="1:1">
      <c r="A263" s="403"/>
    </row>
    <row r="264" spans="1:1">
      <c r="A264" s="403"/>
    </row>
    <row r="265" spans="1:1">
      <c r="A265" s="403"/>
    </row>
    <row r="266" spans="1:1">
      <c r="A266" s="403"/>
    </row>
    <row r="267" spans="1:1">
      <c r="A267" s="403"/>
    </row>
    <row r="268" spans="1:1">
      <c r="A268" s="403"/>
    </row>
    <row r="269" spans="1:1">
      <c r="A269" s="403"/>
    </row>
    <row r="270" spans="1:1">
      <c r="A270" s="403"/>
    </row>
    <row r="271" spans="1:1">
      <c r="A271" s="403"/>
    </row>
    <row r="272" spans="1:1">
      <c r="A272" s="403"/>
    </row>
    <row r="273" spans="1:1">
      <c r="A273" s="403"/>
    </row>
    <row r="274" spans="1:1">
      <c r="A274" s="403"/>
    </row>
    <row r="275" spans="1:1">
      <c r="A275" s="403"/>
    </row>
    <row r="276" spans="1:1">
      <c r="A276" s="403"/>
    </row>
    <row r="277" spans="1:1">
      <c r="A277" s="403"/>
    </row>
    <row r="278" spans="1:1">
      <c r="A278" s="403"/>
    </row>
    <row r="279" spans="1:1">
      <c r="A279" s="403"/>
    </row>
    <row r="280" spans="1:1">
      <c r="A280" s="403"/>
    </row>
    <row r="281" spans="1:1">
      <c r="A281" s="403"/>
    </row>
    <row r="282" spans="1:1">
      <c r="A282" s="403"/>
    </row>
    <row r="283" spans="1:1">
      <c r="A283" s="403"/>
    </row>
    <row r="284" spans="1:1">
      <c r="A284" s="403"/>
    </row>
    <row r="285" spans="1:1">
      <c r="A285" s="403"/>
    </row>
    <row r="286" spans="1:1">
      <c r="A286" s="403"/>
    </row>
    <row r="287" spans="1:1">
      <c r="A287" s="403"/>
    </row>
    <row r="288" spans="1:1">
      <c r="A288" s="403"/>
    </row>
    <row r="289" spans="1:1">
      <c r="A289" s="403"/>
    </row>
    <row r="290" spans="1:1">
      <c r="A290" s="403"/>
    </row>
    <row r="291" spans="1:1">
      <c r="A291" s="403"/>
    </row>
    <row r="292" spans="1:1">
      <c r="A292" s="403"/>
    </row>
    <row r="293" spans="1:1">
      <c r="A293" s="403"/>
    </row>
    <row r="294" spans="1:1">
      <c r="A294" s="403"/>
    </row>
    <row r="295" spans="1:1">
      <c r="A295" s="403"/>
    </row>
    <row r="296" spans="1:1">
      <c r="A296" s="403"/>
    </row>
    <row r="297" spans="1:1">
      <c r="A297" s="403"/>
    </row>
    <row r="298" spans="1:1">
      <c r="A298" s="403"/>
    </row>
    <row r="299" spans="1:1">
      <c r="A299" s="403"/>
    </row>
    <row r="300" spans="1:1">
      <c r="A300" s="403"/>
    </row>
    <row r="301" spans="1:1">
      <c r="A301" s="403"/>
    </row>
    <row r="302" spans="1:1">
      <c r="A302" s="403"/>
    </row>
    <row r="303" spans="1:1">
      <c r="A303" s="403"/>
    </row>
    <row r="304" spans="1:1">
      <c r="A304" s="403"/>
    </row>
    <row r="305" spans="1:1">
      <c r="A305" s="403"/>
    </row>
    <row r="306" spans="1:1">
      <c r="A306" s="403"/>
    </row>
    <row r="307" spans="1:1">
      <c r="A307" s="403"/>
    </row>
    <row r="308" spans="1:1">
      <c r="A308" s="403"/>
    </row>
    <row r="309" spans="1:1">
      <c r="A309" s="403"/>
    </row>
    <row r="310" spans="1:1">
      <c r="A310" s="403"/>
    </row>
    <row r="311" spans="1:1">
      <c r="A311" s="403"/>
    </row>
    <row r="312" spans="1:1">
      <c r="A312" s="403"/>
    </row>
    <row r="313" spans="1:1">
      <c r="A313" s="403"/>
    </row>
    <row r="314" spans="1:1">
      <c r="A314" s="403"/>
    </row>
    <row r="315" spans="1:1">
      <c r="A315" s="403"/>
    </row>
    <row r="316" spans="1:1">
      <c r="A316" s="403"/>
    </row>
    <row r="317" spans="1:1">
      <c r="A317" s="403"/>
    </row>
    <row r="318" spans="1:1">
      <c r="A318" s="403"/>
    </row>
    <row r="319" spans="1:1">
      <c r="A319" s="403"/>
    </row>
    <row r="320" spans="1:1">
      <c r="A320" s="403"/>
    </row>
    <row r="321" spans="1:1">
      <c r="A321" s="403"/>
    </row>
    <row r="322" spans="1:1">
      <c r="A322" s="403"/>
    </row>
    <row r="323" spans="1:1">
      <c r="A323" s="403"/>
    </row>
    <row r="324" spans="1:1">
      <c r="A324" s="403"/>
    </row>
    <row r="325" spans="1:1">
      <c r="A325" s="403"/>
    </row>
    <row r="326" spans="1:1">
      <c r="A326" s="403"/>
    </row>
    <row r="327" spans="1:1">
      <c r="A327" s="403"/>
    </row>
    <row r="328" spans="1:1">
      <c r="A328" s="403"/>
    </row>
    <row r="329" spans="1:1">
      <c r="A329" s="403"/>
    </row>
    <row r="330" spans="1:1">
      <c r="A330" s="403"/>
    </row>
    <row r="331" spans="1:1">
      <c r="A331" s="403"/>
    </row>
    <row r="332" spans="1:1">
      <c r="A332" s="403"/>
    </row>
    <row r="333" spans="1:1">
      <c r="A333" s="403"/>
    </row>
    <row r="334" spans="1:1">
      <c r="A334" s="403"/>
    </row>
    <row r="335" spans="1:1">
      <c r="A335" s="403"/>
    </row>
    <row r="336" spans="1:1">
      <c r="A336" s="403"/>
    </row>
    <row r="337" spans="1:1">
      <c r="A337" s="403"/>
    </row>
    <row r="338" spans="1:1">
      <c r="A338" s="403"/>
    </row>
    <row r="339" spans="1:1">
      <c r="A339" s="403"/>
    </row>
    <row r="340" spans="1:1">
      <c r="A340" s="403"/>
    </row>
    <row r="341" spans="1:1">
      <c r="A341" s="403"/>
    </row>
    <row r="342" spans="1:1">
      <c r="A342" s="403"/>
    </row>
    <row r="343" spans="1:1">
      <c r="A343" s="403"/>
    </row>
    <row r="344" spans="1:1">
      <c r="A344" s="403"/>
    </row>
    <row r="345" spans="1:1">
      <c r="A345" s="403"/>
    </row>
    <row r="346" spans="1:1">
      <c r="A346" s="403"/>
    </row>
    <row r="347" spans="1:1">
      <c r="A347" s="403"/>
    </row>
    <row r="348" spans="1:1">
      <c r="A348" s="403"/>
    </row>
    <row r="349" spans="1:1">
      <c r="A349" s="403"/>
    </row>
    <row r="350" spans="1:1">
      <c r="A350" s="403"/>
    </row>
    <row r="351" spans="1:1">
      <c r="A351" s="403"/>
    </row>
    <row r="352" spans="1:1">
      <c r="A352" s="403"/>
    </row>
    <row r="353" spans="1:1">
      <c r="A353" s="403"/>
    </row>
    <row r="354" spans="1:1">
      <c r="A354" s="403"/>
    </row>
    <row r="355" spans="1:1">
      <c r="A355" s="403"/>
    </row>
    <row r="356" spans="1:1">
      <c r="A356" s="403"/>
    </row>
    <row r="357" spans="1:1">
      <c r="A357" s="403"/>
    </row>
    <row r="358" spans="1:1">
      <c r="A358" s="403"/>
    </row>
    <row r="359" spans="1:1">
      <c r="A359" s="403"/>
    </row>
    <row r="360" spans="1:1">
      <c r="A360" s="403"/>
    </row>
    <row r="361" spans="1:1">
      <c r="A361" s="403"/>
    </row>
    <row r="362" spans="1:1">
      <c r="A362" s="403"/>
    </row>
    <row r="363" spans="1:1">
      <c r="A363" s="403"/>
    </row>
    <row r="364" spans="1:1">
      <c r="A364" s="403"/>
    </row>
    <row r="365" spans="1:1">
      <c r="A365" s="403"/>
    </row>
    <row r="366" spans="1:1">
      <c r="A366" s="403"/>
    </row>
    <row r="367" spans="1:1">
      <c r="A367" s="403"/>
    </row>
    <row r="368" spans="1:1">
      <c r="A368" s="403"/>
    </row>
    <row r="369" spans="1:1">
      <c r="A369" s="403"/>
    </row>
    <row r="370" spans="1:1">
      <c r="A370" s="403"/>
    </row>
    <row r="371" spans="1:1">
      <c r="A371" s="403"/>
    </row>
    <row r="372" spans="1:1">
      <c r="A372" s="403"/>
    </row>
    <row r="373" spans="1:1">
      <c r="A373" s="403"/>
    </row>
    <row r="374" spans="1:1">
      <c r="A374" s="403"/>
    </row>
    <row r="375" spans="1:1">
      <c r="A375" s="403"/>
    </row>
    <row r="376" spans="1:1">
      <c r="A376" s="403"/>
    </row>
    <row r="377" spans="1:1">
      <c r="A377" s="403"/>
    </row>
    <row r="378" spans="1:1">
      <c r="A378" s="403"/>
    </row>
    <row r="379" spans="1:1">
      <c r="A379" s="403"/>
    </row>
    <row r="380" spans="1:1">
      <c r="A380" s="403"/>
    </row>
    <row r="381" spans="1:1">
      <c r="A381" s="403"/>
    </row>
    <row r="382" spans="1:1">
      <c r="A382" s="403"/>
    </row>
    <row r="383" spans="1:1">
      <c r="A383" s="403"/>
    </row>
    <row r="384" spans="1:1">
      <c r="A384" s="403"/>
    </row>
    <row r="385" spans="1:1">
      <c r="A385" s="403"/>
    </row>
    <row r="386" spans="1:1">
      <c r="A386" s="403"/>
    </row>
    <row r="387" spans="1:1">
      <c r="A387" s="403"/>
    </row>
    <row r="388" spans="1:1">
      <c r="A388" s="403"/>
    </row>
    <row r="389" spans="1:1">
      <c r="A389" s="403"/>
    </row>
    <row r="390" spans="1:1">
      <c r="A390" s="403"/>
    </row>
    <row r="391" spans="1:1">
      <c r="A391" s="403"/>
    </row>
    <row r="392" spans="1:1">
      <c r="A392" s="403"/>
    </row>
    <row r="393" spans="1:1">
      <c r="A393" s="403"/>
    </row>
    <row r="394" spans="1:1">
      <c r="A394" s="403"/>
    </row>
    <row r="395" spans="1:1">
      <c r="A395" s="403"/>
    </row>
    <row r="396" spans="1:1">
      <c r="A396" s="403"/>
    </row>
    <row r="397" spans="1:1">
      <c r="A397" s="403"/>
    </row>
    <row r="398" spans="1:1">
      <c r="A398" s="403"/>
    </row>
    <row r="399" spans="1:1">
      <c r="A399" s="403"/>
    </row>
    <row r="400" spans="1:1">
      <c r="A400" s="403"/>
    </row>
    <row r="401" spans="1:1">
      <c r="A401" s="403"/>
    </row>
    <row r="402" spans="1:1">
      <c r="A402" s="403"/>
    </row>
    <row r="403" spans="1:1">
      <c r="A403" s="403"/>
    </row>
    <row r="404" spans="1:1">
      <c r="A404" s="403"/>
    </row>
    <row r="405" spans="1:1">
      <c r="A405" s="403"/>
    </row>
    <row r="406" spans="1:1">
      <c r="A406" s="403"/>
    </row>
    <row r="407" spans="1:1">
      <c r="A407" s="403"/>
    </row>
    <row r="408" spans="1:1">
      <c r="A408" s="403"/>
    </row>
    <row r="409" spans="1:1">
      <c r="A409" s="403"/>
    </row>
    <row r="410" spans="1:1">
      <c r="A410" s="403"/>
    </row>
    <row r="411" spans="1:1">
      <c r="A411" s="403"/>
    </row>
    <row r="412" spans="1:1">
      <c r="A412" s="403"/>
    </row>
    <row r="413" spans="1:1">
      <c r="A413" s="403"/>
    </row>
    <row r="414" spans="1:1">
      <c r="A414" s="403"/>
    </row>
    <row r="415" spans="1:1">
      <c r="A415" s="403"/>
    </row>
    <row r="416" spans="1:1">
      <c r="A416" s="403"/>
    </row>
    <row r="417" spans="1:1">
      <c r="A417" s="403"/>
    </row>
    <row r="418" spans="1:1">
      <c r="A418" s="403"/>
    </row>
    <row r="419" spans="1:1">
      <c r="A419" s="403"/>
    </row>
    <row r="420" spans="1:1">
      <c r="A420" s="403"/>
    </row>
    <row r="421" spans="1:1">
      <c r="A421" s="403"/>
    </row>
    <row r="422" spans="1:1">
      <c r="A422" s="403"/>
    </row>
    <row r="423" spans="1:1">
      <c r="A423" s="403"/>
    </row>
    <row r="424" spans="1:1">
      <c r="A424" s="403"/>
    </row>
    <row r="425" spans="1:1">
      <c r="A425" s="403"/>
    </row>
    <row r="426" spans="1:1">
      <c r="A426" s="403"/>
    </row>
    <row r="427" spans="1:1">
      <c r="A427" s="403"/>
    </row>
    <row r="428" spans="1:1">
      <c r="A428" s="403"/>
    </row>
    <row r="429" spans="1:1">
      <c r="A429" s="403"/>
    </row>
    <row r="430" spans="1:1">
      <c r="A430" s="403"/>
    </row>
    <row r="431" spans="1:1">
      <c r="A431" s="403"/>
    </row>
    <row r="432" spans="1:1">
      <c r="A432" s="403"/>
    </row>
    <row r="433" spans="1:1">
      <c r="A433" s="403"/>
    </row>
    <row r="434" spans="1:1">
      <c r="A434" s="403"/>
    </row>
    <row r="435" spans="1:1">
      <c r="A435" s="403"/>
    </row>
    <row r="436" spans="1:1">
      <c r="A436" s="403"/>
    </row>
    <row r="437" spans="1:1">
      <c r="A437" s="403"/>
    </row>
    <row r="438" spans="1:1">
      <c r="A438" s="403"/>
    </row>
    <row r="439" spans="1:1">
      <c r="A439" s="403"/>
    </row>
    <row r="440" spans="1:1">
      <c r="A440" s="403"/>
    </row>
    <row r="441" spans="1:1">
      <c r="A441" s="403"/>
    </row>
    <row r="442" spans="1:1">
      <c r="A442" s="403"/>
    </row>
    <row r="443" spans="1:1">
      <c r="A443" s="403"/>
    </row>
    <row r="444" spans="1:1">
      <c r="A444" s="403"/>
    </row>
    <row r="445" spans="1:1">
      <c r="A445" s="403"/>
    </row>
    <row r="446" spans="1:1">
      <c r="A446" s="403"/>
    </row>
    <row r="447" spans="1:1">
      <c r="A447" s="403"/>
    </row>
    <row r="448" spans="1:1">
      <c r="A448" s="403"/>
    </row>
    <row r="449" spans="1:1">
      <c r="A449" s="403"/>
    </row>
    <row r="450" spans="1:1">
      <c r="A450" s="403"/>
    </row>
    <row r="451" spans="1:1">
      <c r="A451" s="403"/>
    </row>
    <row r="452" spans="1:1">
      <c r="A452" s="403"/>
    </row>
    <row r="453" spans="1:1">
      <c r="A453" s="403"/>
    </row>
    <row r="454" spans="1:1">
      <c r="A454" s="403"/>
    </row>
    <row r="455" spans="1:1">
      <c r="A455" s="403"/>
    </row>
    <row r="456" spans="1:1">
      <c r="A456" s="403"/>
    </row>
    <row r="457" spans="1:1">
      <c r="A457" s="403"/>
    </row>
    <row r="458" spans="1:1">
      <c r="A458" s="403"/>
    </row>
    <row r="459" spans="1:1">
      <c r="A459" s="403"/>
    </row>
    <row r="460" spans="1:1">
      <c r="A460" s="403"/>
    </row>
    <row r="461" spans="1:1">
      <c r="A461" s="403"/>
    </row>
    <row r="462" spans="1:1">
      <c r="A462" s="403"/>
    </row>
    <row r="463" spans="1:1">
      <c r="A463" s="403"/>
    </row>
    <row r="464" spans="1:1">
      <c r="A464" s="403"/>
    </row>
    <row r="465" spans="1:1">
      <c r="A465" s="403"/>
    </row>
    <row r="466" spans="1:1">
      <c r="A466" s="403"/>
    </row>
    <row r="467" spans="1:1">
      <c r="A467" s="403"/>
    </row>
    <row r="468" spans="1:1">
      <c r="A468" s="403"/>
    </row>
    <row r="469" spans="1:1">
      <c r="A469" s="403"/>
    </row>
    <row r="470" spans="1:1">
      <c r="A470" s="403"/>
    </row>
    <row r="471" spans="1:1">
      <c r="A471" s="403"/>
    </row>
    <row r="472" spans="1:1">
      <c r="A472" s="403"/>
    </row>
    <row r="473" spans="1:1">
      <c r="A473" s="403"/>
    </row>
    <row r="474" spans="1:1">
      <c r="A474" s="403"/>
    </row>
  </sheetData>
  <mergeCells count="15">
    <mergeCell ref="A83:D83"/>
    <mergeCell ref="B92:D92"/>
    <mergeCell ref="E92:G92"/>
    <mergeCell ref="H92:J92"/>
    <mergeCell ref="A6:L6"/>
    <mergeCell ref="A8:A10"/>
    <mergeCell ref="B8:B10"/>
    <mergeCell ref="C8:C10"/>
    <mergeCell ref="D8:D10"/>
    <mergeCell ref="E8:H8"/>
    <mergeCell ref="I8:L8"/>
    <mergeCell ref="E9:E10"/>
    <mergeCell ref="F9:H9"/>
    <mergeCell ref="I9:I10"/>
    <mergeCell ref="J9:L9"/>
  </mergeCells>
  <pageMargins left="0.25" right="0.25" top="0.75" bottom="0.75" header="0.3" footer="0.3"/>
  <pageSetup paperSize="9" scale="65" orientation="landscape" r:id="rId1"/>
  <ignoredErrors>
    <ignoredError sqref="F22 H22 F27:H27 F35:H35 F44:H44 F57:H57 F69:H69 F75:H75 H13" formulaRange="1"/>
    <ignoredError sqref="I51 I22 I83" formula="1"/>
    <ignoredError sqref="E23" emptyCellReference="1"/>
  </ignoredErrors>
</worksheet>
</file>

<file path=xl/worksheets/sheet9.xml><?xml version="1.0" encoding="utf-8"?>
<worksheet xmlns="http://schemas.openxmlformats.org/spreadsheetml/2006/main" xmlns:r="http://schemas.openxmlformats.org/officeDocument/2006/relationships">
  <dimension ref="A1:X609"/>
  <sheetViews>
    <sheetView zoomScale="90" zoomScaleNormal="90" workbookViewId="0">
      <pane ySplit="12" topLeftCell="A68" activePane="bottomLeft" state="frozen"/>
      <selection pane="bottomLeft" activeCell="D70" sqref="D70"/>
    </sheetView>
  </sheetViews>
  <sheetFormatPr defaultRowHeight="15.75"/>
  <cols>
    <col min="1" max="1" width="6.42578125" style="240" customWidth="1"/>
    <col min="2" max="2" width="49.28515625" style="237" customWidth="1"/>
    <col min="3" max="3" width="16.7109375" style="415" customWidth="1"/>
    <col min="4" max="4" width="15.5703125" style="415" customWidth="1"/>
    <col min="5" max="5" width="21.85546875" style="238" customWidth="1"/>
    <col min="6" max="6" width="13.85546875" style="239" customWidth="1"/>
    <col min="7" max="7" width="43.140625" style="125" customWidth="1"/>
    <col min="8" max="8" width="21.7109375" style="319" customWidth="1"/>
    <col min="9" max="9" width="11.5703125" style="124" customWidth="1"/>
    <col min="10" max="10" width="23.7109375" style="124" customWidth="1"/>
    <col min="11" max="11" width="28.7109375" style="124" customWidth="1"/>
    <col min="12" max="12" width="15.7109375" style="124" customWidth="1"/>
    <col min="13" max="13" width="31.7109375" style="124" customWidth="1"/>
    <col min="14" max="24" width="9.140625" style="124"/>
    <col min="25" max="16384" width="9.140625" style="125"/>
  </cols>
  <sheetData>
    <row r="1" spans="1:24">
      <c r="A1" s="413"/>
      <c r="B1" s="414"/>
      <c r="E1" s="415"/>
      <c r="F1" s="416"/>
      <c r="G1" s="341"/>
    </row>
    <row r="2" spans="1:24">
      <c r="A2" s="413"/>
      <c r="B2" s="414"/>
      <c r="E2" s="415"/>
      <c r="F2" s="416"/>
      <c r="G2" s="341" t="s">
        <v>609</v>
      </c>
    </row>
    <row r="3" spans="1:24">
      <c r="A3" s="413"/>
      <c r="B3" s="414"/>
      <c r="E3" s="415"/>
      <c r="F3" s="416"/>
      <c r="G3" s="341" t="s">
        <v>610</v>
      </c>
    </row>
    <row r="4" spans="1:24">
      <c r="A4" s="413"/>
      <c r="B4" s="414"/>
      <c r="E4" s="415"/>
      <c r="F4" s="416"/>
      <c r="G4" s="341" t="s">
        <v>611</v>
      </c>
    </row>
    <row r="5" spans="1:24">
      <c r="A5" s="413"/>
      <c r="B5" s="414"/>
      <c r="E5" s="415"/>
      <c r="F5" s="416"/>
      <c r="G5" s="341" t="s">
        <v>612</v>
      </c>
    </row>
    <row r="6" spans="1:24">
      <c r="A6" s="413"/>
      <c r="B6" s="414"/>
      <c r="E6" s="415"/>
      <c r="F6" s="416"/>
      <c r="G6" s="341"/>
    </row>
    <row r="7" spans="1:24">
      <c r="A7" s="413"/>
      <c r="B7" s="414"/>
      <c r="E7" s="415"/>
      <c r="F7" s="416"/>
      <c r="G7" s="341"/>
    </row>
    <row r="8" spans="1:24">
      <c r="A8" s="1065" t="s">
        <v>187</v>
      </c>
      <c r="B8" s="1065"/>
      <c r="C8" s="1065"/>
      <c r="D8" s="1065"/>
      <c r="E8" s="1065"/>
      <c r="F8" s="1065"/>
      <c r="G8" s="1065"/>
    </row>
    <row r="9" spans="1:24">
      <c r="A9" s="1065" t="s">
        <v>615</v>
      </c>
      <c r="B9" s="1065"/>
      <c r="C9" s="1065"/>
      <c r="D9" s="1065"/>
      <c r="E9" s="1065"/>
      <c r="F9" s="1065"/>
      <c r="G9" s="1065"/>
    </row>
    <row r="10" spans="1:24">
      <c r="A10" s="413"/>
      <c r="B10" s="414"/>
      <c r="E10" s="415"/>
      <c r="F10" s="416"/>
      <c r="G10" s="341"/>
    </row>
    <row r="11" spans="1:24" s="126" customFormat="1">
      <c r="A11" s="1025" t="s">
        <v>26</v>
      </c>
      <c r="B11" s="1026" t="s">
        <v>188</v>
      </c>
      <c r="C11" s="1066" t="s">
        <v>189</v>
      </c>
      <c r="D11" s="1066"/>
      <c r="E11" s="1026" t="s">
        <v>190</v>
      </c>
      <c r="F11" s="1027" t="s">
        <v>191</v>
      </c>
      <c r="G11" s="1026" t="s">
        <v>192</v>
      </c>
      <c r="H11" s="319"/>
      <c r="I11" s="124"/>
      <c r="J11" s="124"/>
      <c r="K11" s="124"/>
      <c r="L11" s="124"/>
      <c r="M11" s="124"/>
      <c r="N11" s="124"/>
      <c r="O11" s="124"/>
      <c r="P11" s="124"/>
      <c r="Q11" s="124"/>
      <c r="R11" s="124"/>
      <c r="S11" s="124"/>
      <c r="T11" s="124"/>
      <c r="U11" s="124"/>
      <c r="V11" s="124"/>
      <c r="W11" s="124"/>
      <c r="X11" s="124"/>
    </row>
    <row r="12" spans="1:24" s="126" customFormat="1">
      <c r="A12" s="1025"/>
      <c r="B12" s="1026"/>
      <c r="C12" s="380" t="s">
        <v>193</v>
      </c>
      <c r="D12" s="380" t="s">
        <v>194</v>
      </c>
      <c r="E12" s="1026"/>
      <c r="F12" s="1027"/>
      <c r="G12" s="1026"/>
      <c r="H12" s="319"/>
      <c r="I12" s="124"/>
      <c r="J12" s="124"/>
      <c r="K12" s="124"/>
      <c r="L12" s="124"/>
      <c r="M12" s="124"/>
      <c r="N12" s="124"/>
      <c r="O12" s="124"/>
      <c r="P12" s="124"/>
      <c r="Q12" s="124"/>
      <c r="R12" s="124"/>
      <c r="S12" s="124"/>
      <c r="T12" s="124"/>
      <c r="U12" s="124"/>
      <c r="V12" s="124"/>
      <c r="W12" s="124"/>
      <c r="X12" s="124"/>
    </row>
    <row r="13" spans="1:24" s="126" customFormat="1">
      <c r="A13" s="406" t="s">
        <v>28</v>
      </c>
      <c r="B13" s="407">
        <v>2</v>
      </c>
      <c r="C13" s="379" t="s">
        <v>103</v>
      </c>
      <c r="D13" s="380">
        <v>4</v>
      </c>
      <c r="E13" s="406" t="s">
        <v>155</v>
      </c>
      <c r="F13" s="408">
        <v>6</v>
      </c>
      <c r="G13" s="406" t="s">
        <v>29</v>
      </c>
      <c r="H13" s="319"/>
      <c r="I13" s="124"/>
      <c r="J13" s="124"/>
      <c r="K13" s="124"/>
      <c r="L13" s="124"/>
      <c r="M13" s="124"/>
      <c r="N13" s="124"/>
      <c r="O13" s="124"/>
      <c r="P13" s="124"/>
      <c r="Q13" s="124"/>
      <c r="R13" s="124"/>
      <c r="S13" s="124"/>
      <c r="T13" s="124"/>
      <c r="U13" s="124"/>
      <c r="V13" s="124"/>
      <c r="W13" s="124"/>
      <c r="X13" s="124"/>
    </row>
    <row r="14" spans="1:24">
      <c r="A14" s="190">
        <v>1</v>
      </c>
      <c r="B14" s="1028" t="s">
        <v>48</v>
      </c>
      <c r="C14" s="1028"/>
      <c r="D14" s="1028"/>
      <c r="E14" s="1028"/>
      <c r="F14" s="1028"/>
      <c r="G14" s="1028"/>
    </row>
    <row r="15" spans="1:24">
      <c r="A15" s="197" t="s">
        <v>46</v>
      </c>
      <c r="B15" s="1013" t="s">
        <v>195</v>
      </c>
      <c r="C15" s="1014"/>
      <c r="D15" s="1014"/>
      <c r="E15" s="1014"/>
      <c r="F15" s="1014"/>
      <c r="G15" s="1014"/>
    </row>
    <row r="16" spans="1:24" s="341" customFormat="1">
      <c r="A16" s="409"/>
      <c r="B16" s="404" t="s">
        <v>196</v>
      </c>
      <c r="C16" s="346">
        <f>'звіт І кв'!E14</f>
        <v>12076.45</v>
      </c>
      <c r="D16" s="346">
        <f>'звіт І кв'!I14</f>
        <v>1620.15</v>
      </c>
      <c r="E16" s="223">
        <f>D16-C16</f>
        <v>-10456.300000000001</v>
      </c>
      <c r="F16" s="143">
        <f>D16/C16*100</f>
        <v>13.415780299674159</v>
      </c>
      <c r="G16" s="442" t="s">
        <v>400</v>
      </c>
      <c r="H16" s="340"/>
      <c r="I16" s="289"/>
      <c r="J16" s="289"/>
      <c r="K16" s="289"/>
      <c r="L16" s="289"/>
      <c r="M16" s="289"/>
      <c r="N16" s="289"/>
      <c r="O16" s="289"/>
      <c r="P16" s="289"/>
      <c r="Q16" s="289"/>
      <c r="R16" s="289"/>
      <c r="S16" s="289"/>
      <c r="T16" s="289"/>
      <c r="U16" s="289"/>
      <c r="V16" s="289"/>
      <c r="W16" s="289"/>
      <c r="X16" s="289"/>
    </row>
    <row r="17" spans="1:24" s="341" customFormat="1" ht="31.5">
      <c r="A17" s="409"/>
      <c r="B17" s="342" t="s">
        <v>197</v>
      </c>
      <c r="C17" s="332">
        <v>24000</v>
      </c>
      <c r="D17" s="332">
        <v>7053</v>
      </c>
      <c r="E17" s="332">
        <f>D17-C17</f>
        <v>-16947</v>
      </c>
      <c r="F17" s="332">
        <f>D17/C17*100</f>
        <v>29.387499999999999</v>
      </c>
      <c r="G17" s="442" t="s">
        <v>400</v>
      </c>
      <c r="H17" s="538">
        <f>D17+D22+D27</f>
        <v>13519</v>
      </c>
      <c r="I17" s="289"/>
      <c r="J17" s="289"/>
      <c r="K17" s="289"/>
      <c r="L17" s="289"/>
      <c r="M17" s="289"/>
      <c r="N17" s="289"/>
      <c r="O17" s="289"/>
      <c r="P17" s="289"/>
      <c r="Q17" s="289"/>
      <c r="R17" s="289"/>
      <c r="S17" s="289"/>
      <c r="T17" s="289"/>
      <c r="U17" s="289"/>
      <c r="V17" s="289"/>
      <c r="W17" s="289"/>
      <c r="X17" s="289"/>
    </row>
    <row r="18" spans="1:24" s="341" customFormat="1" ht="47.25">
      <c r="A18" s="409"/>
      <c r="B18" s="342" t="s">
        <v>198</v>
      </c>
      <c r="C18" s="330">
        <f>C16/C17</f>
        <v>0.50318541666666672</v>
      </c>
      <c r="D18" s="330">
        <f>D16/D17</f>
        <v>0.22971076137813698</v>
      </c>
      <c r="E18" s="391">
        <f>D18-C18</f>
        <v>-0.27347465528852977</v>
      </c>
      <c r="F18" s="332">
        <f>D18/C18*100</f>
        <v>45.651315354059243</v>
      </c>
      <c r="G18" s="442" t="s">
        <v>400</v>
      </c>
      <c r="H18" s="340"/>
      <c r="I18" s="289"/>
      <c r="J18" s="289"/>
      <c r="K18" s="289"/>
      <c r="L18" s="289"/>
      <c r="M18" s="289"/>
      <c r="N18" s="289"/>
      <c r="O18" s="289"/>
      <c r="P18" s="289"/>
      <c r="Q18" s="289"/>
      <c r="R18" s="289"/>
      <c r="S18" s="289"/>
      <c r="T18" s="289"/>
      <c r="U18" s="289"/>
      <c r="V18" s="289"/>
      <c r="W18" s="289"/>
      <c r="X18" s="289"/>
    </row>
    <row r="19" spans="1:24" s="341" customFormat="1" ht="63">
      <c r="A19" s="409"/>
      <c r="B19" s="342" t="s">
        <v>199</v>
      </c>
      <c r="C19" s="391">
        <v>69.364161849710982</v>
      </c>
      <c r="D19" s="391">
        <f>D17/34600*100</f>
        <v>20.384393063583815</v>
      </c>
      <c r="E19" s="391">
        <f>D19-C19</f>
        <v>-48.979768786127167</v>
      </c>
      <c r="F19" s="351">
        <f>D19/C19*100</f>
        <v>29.387499999999999</v>
      </c>
      <c r="G19" s="442" t="s">
        <v>400</v>
      </c>
      <c r="H19" s="340"/>
      <c r="I19" s="289"/>
      <c r="J19" s="289"/>
      <c r="K19" s="289"/>
      <c r="L19" s="289"/>
      <c r="M19" s="289"/>
      <c r="N19" s="289"/>
      <c r="O19" s="289"/>
      <c r="P19" s="289"/>
      <c r="Q19" s="289"/>
      <c r="R19" s="289"/>
      <c r="S19" s="289"/>
      <c r="T19" s="289"/>
      <c r="U19" s="289"/>
      <c r="V19" s="289"/>
      <c r="W19" s="289"/>
      <c r="X19" s="289"/>
    </row>
    <row r="20" spans="1:24" s="341" customFormat="1">
      <c r="A20" s="137"/>
      <c r="B20" s="1059" t="s">
        <v>200</v>
      </c>
      <c r="C20" s="1060"/>
      <c r="D20" s="1060"/>
      <c r="E20" s="1060"/>
      <c r="F20" s="1060"/>
      <c r="G20" s="1060"/>
      <c r="H20" s="340"/>
      <c r="I20" s="289"/>
      <c r="J20" s="289"/>
      <c r="K20" s="289"/>
      <c r="L20" s="289"/>
      <c r="M20" s="289"/>
      <c r="N20" s="289"/>
      <c r="O20" s="289"/>
      <c r="P20" s="289"/>
      <c r="Q20" s="289"/>
      <c r="R20" s="289"/>
      <c r="S20" s="289"/>
      <c r="T20" s="289"/>
      <c r="U20" s="289"/>
      <c r="V20" s="289"/>
      <c r="W20" s="289"/>
      <c r="X20" s="289"/>
    </row>
    <row r="21" spans="1:24" s="341" customFormat="1">
      <c r="A21" s="137"/>
      <c r="B21" s="337" t="s">
        <v>196</v>
      </c>
      <c r="C21" s="346">
        <f>'звіт І кв'!H15</f>
        <v>6662.29</v>
      </c>
      <c r="D21" s="346">
        <f>'звіт І кв'!I15</f>
        <v>3117.7003500000001</v>
      </c>
      <c r="E21" s="346">
        <f>D21-C21</f>
        <v>-3544.5896499999999</v>
      </c>
      <c r="F21" s="339">
        <f>D21/C21*100</f>
        <v>46.796226973007784</v>
      </c>
      <c r="G21" s="442" t="s">
        <v>400</v>
      </c>
      <c r="H21" s="340"/>
      <c r="I21" s="289"/>
      <c r="J21" s="289"/>
      <c r="K21" s="289"/>
      <c r="L21" s="289"/>
      <c r="M21" s="289"/>
      <c r="N21" s="289"/>
      <c r="O21" s="289"/>
      <c r="P21" s="289"/>
      <c r="Q21" s="289"/>
      <c r="R21" s="289"/>
      <c r="S21" s="289"/>
      <c r="T21" s="289"/>
      <c r="U21" s="289"/>
      <c r="V21" s="289"/>
      <c r="W21" s="289"/>
      <c r="X21" s="289"/>
    </row>
    <row r="22" spans="1:24" s="341" customFormat="1" ht="31.5">
      <c r="A22" s="137"/>
      <c r="B22" s="342" t="s">
        <v>201</v>
      </c>
      <c r="C22" s="332">
        <v>17700</v>
      </c>
      <c r="D22" s="332">
        <v>4173</v>
      </c>
      <c r="E22" s="332">
        <f>D22-C22</f>
        <v>-13527</v>
      </c>
      <c r="F22" s="339">
        <f>D22/C22*100</f>
        <v>23.576271186440678</v>
      </c>
      <c r="G22" s="442" t="s">
        <v>400</v>
      </c>
      <c r="H22" s="340"/>
      <c r="I22" s="289"/>
      <c r="J22" s="289"/>
      <c r="K22" s="289"/>
      <c r="L22" s="289"/>
      <c r="M22" s="289"/>
      <c r="N22" s="289"/>
      <c r="O22" s="289"/>
      <c r="P22" s="289"/>
      <c r="Q22" s="289"/>
      <c r="R22" s="289"/>
      <c r="S22" s="289"/>
      <c r="T22" s="289"/>
      <c r="U22" s="289"/>
      <c r="V22" s="289"/>
      <c r="W22" s="289"/>
      <c r="X22" s="289"/>
    </row>
    <row r="23" spans="1:24" s="341" customFormat="1" ht="47.25">
      <c r="A23" s="137"/>
      <c r="B23" s="342" t="s">
        <v>202</v>
      </c>
      <c r="C23" s="391">
        <f>C21/C22</f>
        <v>0.37640056497175139</v>
      </c>
      <c r="D23" s="391">
        <f>D21/D22</f>
        <v>0.74711247304097772</v>
      </c>
      <c r="E23" s="391">
        <f>D23-C23</f>
        <v>0.37071190806922633</v>
      </c>
      <c r="F23" s="339">
        <f>D23/C23*100</f>
        <v>198.48866940384323</v>
      </c>
      <c r="G23" s="442" t="s">
        <v>400</v>
      </c>
      <c r="H23" s="340"/>
      <c r="I23" s="289"/>
      <c r="J23" s="289"/>
      <c r="K23" s="289"/>
      <c r="L23" s="289"/>
      <c r="M23" s="289"/>
      <c r="N23" s="289"/>
      <c r="O23" s="289"/>
      <c r="P23" s="289"/>
      <c r="Q23" s="289"/>
      <c r="R23" s="289"/>
      <c r="S23" s="289"/>
      <c r="T23" s="289"/>
      <c r="U23" s="289"/>
      <c r="V23" s="289"/>
      <c r="W23" s="289"/>
      <c r="X23" s="289"/>
    </row>
    <row r="24" spans="1:24" s="341" customFormat="1" ht="63">
      <c r="A24" s="137"/>
      <c r="B24" s="342" t="s">
        <v>203</v>
      </c>
      <c r="C24" s="330">
        <v>53.153153153153156</v>
      </c>
      <c r="D24" s="391">
        <f>D22/33300*100</f>
        <v>12.531531531531531</v>
      </c>
      <c r="E24" s="391">
        <f>D24-C24</f>
        <v>-40.621621621621628</v>
      </c>
      <c r="F24" s="339">
        <f>D24/C24*100</f>
        <v>23.576271186440675</v>
      </c>
      <c r="G24" s="442" t="s">
        <v>400</v>
      </c>
      <c r="H24" s="340"/>
      <c r="I24" s="289"/>
      <c r="J24" s="289"/>
      <c r="K24" s="289"/>
      <c r="L24" s="289"/>
      <c r="M24" s="289"/>
      <c r="N24" s="289"/>
      <c r="O24" s="289"/>
      <c r="P24" s="289"/>
      <c r="Q24" s="289"/>
      <c r="R24" s="289"/>
      <c r="S24" s="289"/>
      <c r="T24" s="289"/>
      <c r="U24" s="289"/>
      <c r="V24" s="289"/>
      <c r="W24" s="289"/>
      <c r="X24" s="289"/>
    </row>
    <row r="25" spans="1:24" s="341" customFormat="1">
      <c r="A25" s="137"/>
      <c r="B25" s="1050" t="s">
        <v>52</v>
      </c>
      <c r="C25" s="1050"/>
      <c r="D25" s="1050"/>
      <c r="E25" s="1050"/>
      <c r="F25" s="1050"/>
      <c r="G25" s="1051"/>
      <c r="H25" s="340"/>
      <c r="I25" s="289"/>
      <c r="J25" s="289"/>
      <c r="K25" s="289"/>
      <c r="L25" s="289"/>
      <c r="M25" s="289"/>
      <c r="N25" s="289"/>
      <c r="O25" s="289"/>
      <c r="P25" s="289"/>
      <c r="Q25" s="289"/>
      <c r="R25" s="289"/>
      <c r="S25" s="289"/>
      <c r="T25" s="289"/>
      <c r="U25" s="289"/>
      <c r="V25" s="289"/>
      <c r="W25" s="289"/>
      <c r="X25" s="289"/>
    </row>
    <row r="26" spans="1:24" s="341" customFormat="1">
      <c r="A26" s="137"/>
      <c r="B26" s="337" t="s">
        <v>196</v>
      </c>
      <c r="C26" s="346">
        <f>'звіт І кв'!E16</f>
        <v>4269.24</v>
      </c>
      <c r="D26" s="346">
        <f>'звіт І кв'!I16</f>
        <v>581.17999999999995</v>
      </c>
      <c r="E26" s="338">
        <f>D26-C26</f>
        <v>-3688.06</v>
      </c>
      <c r="F26" s="339">
        <f>D26/C26*100</f>
        <v>13.61319579128838</v>
      </c>
      <c r="G26" s="442" t="s">
        <v>400</v>
      </c>
      <c r="H26" s="340"/>
      <c r="I26" s="289"/>
      <c r="J26" s="289"/>
      <c r="K26" s="289"/>
      <c r="L26" s="289"/>
      <c r="M26" s="289"/>
      <c r="N26" s="289"/>
      <c r="O26" s="289"/>
      <c r="P26" s="289"/>
      <c r="Q26" s="289"/>
      <c r="R26" s="289"/>
      <c r="S26" s="289"/>
      <c r="T26" s="289"/>
      <c r="U26" s="289"/>
      <c r="V26" s="289"/>
      <c r="W26" s="289"/>
      <c r="X26" s="289"/>
    </row>
    <row r="27" spans="1:24" s="341" customFormat="1" ht="31.5">
      <c r="A27" s="137"/>
      <c r="B27" s="337" t="s">
        <v>204</v>
      </c>
      <c r="C27" s="332">
        <v>6500</v>
      </c>
      <c r="D27" s="332">
        <v>2293</v>
      </c>
      <c r="E27" s="339">
        <f>D27-C27</f>
        <v>-4207</v>
      </c>
      <c r="F27" s="339">
        <f>D27/C27*100</f>
        <v>35.276923076923076</v>
      </c>
      <c r="G27" s="442" t="s">
        <v>400</v>
      </c>
      <c r="H27" s="340"/>
      <c r="I27" s="289"/>
      <c r="J27" s="289"/>
      <c r="K27" s="289"/>
      <c r="L27" s="289"/>
      <c r="M27" s="289"/>
      <c r="N27" s="289"/>
      <c r="O27" s="289"/>
      <c r="P27" s="289"/>
      <c r="Q27" s="289"/>
      <c r="R27" s="289"/>
      <c r="S27" s="289"/>
      <c r="T27" s="289"/>
      <c r="U27" s="289"/>
      <c r="V27" s="289"/>
      <c r="W27" s="289"/>
      <c r="X27" s="289"/>
    </row>
    <row r="28" spans="1:24" ht="47.25">
      <c r="A28" s="137"/>
      <c r="B28" s="337" t="s">
        <v>205</v>
      </c>
      <c r="C28" s="513">
        <f>C26/C27</f>
        <v>0.65680615384615382</v>
      </c>
      <c r="D28" s="513">
        <f>D26/D27</f>
        <v>0.25345835150457913</v>
      </c>
      <c r="E28" s="411">
        <f>D28-C28</f>
        <v>-0.40334780234157469</v>
      </c>
      <c r="F28" s="339">
        <f>D28/C28*100</f>
        <v>38.589521431912104</v>
      </c>
      <c r="G28" s="442" t="s">
        <v>400</v>
      </c>
    </row>
    <row r="29" spans="1:24" ht="63">
      <c r="A29" s="268"/>
      <c r="B29" s="337" t="s">
        <v>206</v>
      </c>
      <c r="C29" s="330">
        <v>61.479591836734691</v>
      </c>
      <c r="D29" s="391">
        <f>D27/10500*100</f>
        <v>21.838095238095239</v>
      </c>
      <c r="E29" s="514">
        <f>D29-C29</f>
        <v>-39.641496598639449</v>
      </c>
      <c r="F29" s="339">
        <f>D29/C29*100</f>
        <v>35.520885200553252</v>
      </c>
      <c r="G29" s="442" t="s">
        <v>400</v>
      </c>
    </row>
    <row r="30" spans="1:24" s="149" customFormat="1">
      <c r="A30" s="225" t="s">
        <v>247</v>
      </c>
      <c r="B30" s="1056" t="s">
        <v>248</v>
      </c>
      <c r="C30" s="1057"/>
      <c r="D30" s="1050"/>
      <c r="E30" s="1050"/>
      <c r="F30" s="1050"/>
      <c r="G30" s="1051"/>
      <c r="H30" s="319"/>
      <c r="I30" s="124"/>
      <c r="J30" s="124"/>
      <c r="K30" s="124"/>
      <c r="L30" s="124"/>
      <c r="M30" s="124"/>
      <c r="N30" s="124"/>
      <c r="O30" s="124"/>
      <c r="P30" s="124"/>
      <c r="Q30" s="124"/>
      <c r="R30" s="124"/>
      <c r="S30" s="124"/>
      <c r="T30" s="124"/>
      <c r="U30" s="124"/>
      <c r="V30" s="124"/>
      <c r="W30" s="124"/>
      <c r="X30" s="124"/>
    </row>
    <row r="31" spans="1:24" s="341" customFormat="1">
      <c r="A31" s="410"/>
      <c r="B31" s="347" t="s">
        <v>249</v>
      </c>
      <c r="C31" s="330">
        <f>'звіт І кв'!E17</f>
        <v>550</v>
      </c>
      <c r="D31" s="346">
        <f>'звіт І кв'!I17</f>
        <v>634.59699999999998</v>
      </c>
      <c r="E31" s="523">
        <f>D31-C31</f>
        <v>84.59699999999998</v>
      </c>
      <c r="F31" s="332">
        <f>D31/C31*100</f>
        <v>115.38127272727272</v>
      </c>
      <c r="G31" s="442" t="s">
        <v>400</v>
      </c>
      <c r="H31" s="340"/>
      <c r="I31" s="289"/>
      <c r="J31" s="289"/>
      <c r="K31" s="289"/>
      <c r="L31" s="289"/>
      <c r="M31" s="289"/>
      <c r="N31" s="289"/>
      <c r="O31" s="289"/>
      <c r="P31" s="289"/>
      <c r="Q31" s="289"/>
      <c r="R31" s="289"/>
      <c r="S31" s="289"/>
      <c r="T31" s="289"/>
      <c r="U31" s="289"/>
      <c r="V31" s="289"/>
      <c r="W31" s="289"/>
      <c r="X31" s="289"/>
    </row>
    <row r="32" spans="1:24" s="341" customFormat="1" ht="47.25">
      <c r="A32" s="410"/>
      <c r="B32" s="349" t="s">
        <v>252</v>
      </c>
      <c r="C32" s="330">
        <v>50</v>
      </c>
      <c r="D32" s="391">
        <f>(D17+D22+D27)*100/78400</f>
        <v>17.243622448979593</v>
      </c>
      <c r="E32" s="391">
        <f>D32-C32</f>
        <v>-32.756377551020407</v>
      </c>
      <c r="F32" s="332">
        <f>D32/C32*100</f>
        <v>34.487244897959187</v>
      </c>
      <c r="G32" s="443" t="s">
        <v>583</v>
      </c>
      <c r="H32" s="340"/>
      <c r="I32" s="289"/>
      <c r="J32" s="289"/>
      <c r="K32" s="289"/>
      <c r="L32" s="289"/>
      <c r="M32" s="289"/>
      <c r="N32" s="289"/>
      <c r="O32" s="289"/>
      <c r="P32" s="289"/>
      <c r="Q32" s="289"/>
      <c r="R32" s="289"/>
      <c r="S32" s="289"/>
      <c r="T32" s="289"/>
      <c r="U32" s="289"/>
      <c r="V32" s="289"/>
      <c r="W32" s="289"/>
      <c r="X32" s="289"/>
    </row>
    <row r="33" spans="1:24" s="350" customFormat="1">
      <c r="A33" s="225" t="s">
        <v>253</v>
      </c>
      <c r="B33" s="1061" t="s">
        <v>54</v>
      </c>
      <c r="C33" s="1062"/>
      <c r="D33" s="1063"/>
      <c r="E33" s="1062"/>
      <c r="F33" s="1062"/>
      <c r="G33" s="1064"/>
      <c r="H33" s="340"/>
      <c r="I33" s="289"/>
      <c r="J33" s="289"/>
      <c r="K33" s="289"/>
      <c r="L33" s="289"/>
      <c r="M33" s="289"/>
      <c r="N33" s="289"/>
      <c r="O33" s="289"/>
      <c r="P33" s="289"/>
      <c r="Q33" s="289"/>
      <c r="R33" s="289"/>
      <c r="S33" s="289"/>
      <c r="T33" s="289"/>
      <c r="U33" s="289"/>
      <c r="V33" s="289"/>
      <c r="W33" s="289"/>
      <c r="X33" s="289"/>
    </row>
    <row r="34" spans="1:24" s="341" customFormat="1" ht="63">
      <c r="A34" s="410"/>
      <c r="B34" s="349" t="s">
        <v>254</v>
      </c>
      <c r="C34" s="318">
        <v>4</v>
      </c>
      <c r="D34" s="351">
        <v>0</v>
      </c>
      <c r="E34" s="412">
        <f>D34-C34</f>
        <v>-4</v>
      </c>
      <c r="F34" s="332">
        <f>D34/C34*100</f>
        <v>0</v>
      </c>
      <c r="G34" s="442" t="s">
        <v>400</v>
      </c>
      <c r="H34" s="340"/>
      <c r="I34" s="289"/>
      <c r="J34" s="289"/>
      <c r="K34" s="289"/>
      <c r="L34" s="289"/>
      <c r="M34" s="289"/>
      <c r="N34" s="289"/>
      <c r="O34" s="289"/>
      <c r="P34" s="289"/>
      <c r="Q34" s="289"/>
      <c r="R34" s="289"/>
      <c r="S34" s="289"/>
      <c r="T34" s="289"/>
      <c r="U34" s="289"/>
      <c r="V34" s="289"/>
      <c r="W34" s="289"/>
      <c r="X34" s="289"/>
    </row>
    <row r="35" spans="1:24" s="341" customFormat="1" ht="47.25">
      <c r="A35" s="410"/>
      <c r="B35" s="349" t="s">
        <v>584</v>
      </c>
      <c r="C35" s="330">
        <v>61</v>
      </c>
      <c r="D35" s="391">
        <f>(D17+D22+D27)/78400*100</f>
        <v>17.243622448979593</v>
      </c>
      <c r="E35" s="391">
        <f>D35-C35</f>
        <v>-43.756377551020407</v>
      </c>
      <c r="F35" s="332">
        <f>D35/C35*100</f>
        <v>28.26823352291737</v>
      </c>
      <c r="G35" s="442" t="s">
        <v>400</v>
      </c>
      <c r="H35" s="340"/>
      <c r="I35" s="289"/>
      <c r="J35" s="289"/>
      <c r="K35" s="289"/>
      <c r="L35" s="289"/>
      <c r="M35" s="289"/>
      <c r="N35" s="289"/>
      <c r="O35" s="289"/>
      <c r="P35" s="289"/>
      <c r="Q35" s="289"/>
      <c r="R35" s="289"/>
      <c r="S35" s="289"/>
      <c r="T35" s="289"/>
      <c r="U35" s="289"/>
      <c r="V35" s="289"/>
      <c r="W35" s="289"/>
      <c r="X35" s="289"/>
    </row>
    <row r="36" spans="1:24" s="341" customFormat="1">
      <c r="A36" s="158" t="s">
        <v>66</v>
      </c>
      <c r="B36" s="1056" t="s">
        <v>55</v>
      </c>
      <c r="C36" s="1057"/>
      <c r="D36" s="1057"/>
      <c r="E36" s="1057"/>
      <c r="F36" s="1057"/>
      <c r="G36" s="1058"/>
      <c r="H36" s="340"/>
      <c r="I36" s="289"/>
      <c r="J36" s="289"/>
      <c r="K36" s="289"/>
      <c r="L36" s="289"/>
      <c r="M36" s="289"/>
      <c r="N36" s="289"/>
      <c r="O36" s="289"/>
      <c r="P36" s="289"/>
      <c r="Q36" s="289"/>
      <c r="R36" s="289"/>
      <c r="S36" s="289"/>
      <c r="T36" s="289"/>
      <c r="U36" s="289"/>
      <c r="V36" s="289"/>
      <c r="W36" s="289"/>
      <c r="X36" s="289"/>
    </row>
    <row r="37" spans="1:24" s="341" customFormat="1" ht="31.5">
      <c r="A37" s="158"/>
      <c r="B37" s="337" t="s">
        <v>196</v>
      </c>
      <c r="C37" s="346">
        <f>'звіт І кв'!E19</f>
        <v>1150</v>
      </c>
      <c r="D37" s="346">
        <f>'звіт І кв'!I19</f>
        <v>162.13999999999999</v>
      </c>
      <c r="E37" s="338">
        <f>D37-C37</f>
        <v>-987.86</v>
      </c>
      <c r="F37" s="339">
        <f>D37/C37*100</f>
        <v>14.099130434782609</v>
      </c>
      <c r="G37" s="326" t="s">
        <v>600</v>
      </c>
      <c r="H37" s="340"/>
      <c r="I37" s="289"/>
      <c r="J37" s="289"/>
      <c r="K37" s="289"/>
      <c r="L37" s="289"/>
      <c r="M37" s="289"/>
      <c r="N37" s="289"/>
      <c r="O37" s="289"/>
      <c r="P37" s="289"/>
      <c r="Q37" s="289"/>
      <c r="R37" s="289"/>
      <c r="S37" s="289"/>
      <c r="T37" s="289"/>
      <c r="U37" s="289"/>
      <c r="V37" s="289"/>
      <c r="W37" s="289"/>
      <c r="X37" s="289"/>
    </row>
    <row r="38" spans="1:24" ht="35.25" customHeight="1">
      <c r="A38" s="137"/>
      <c r="B38" s="337" t="s">
        <v>207</v>
      </c>
      <c r="C38" s="336">
        <v>3</v>
      </c>
      <c r="D38" s="336">
        <v>2</v>
      </c>
      <c r="E38" s="339">
        <f>D38-C38</f>
        <v>-1</v>
      </c>
      <c r="F38" s="339">
        <f>D38/C38*100</f>
        <v>66.666666666666657</v>
      </c>
      <c r="G38" s="442" t="s">
        <v>400</v>
      </c>
    </row>
    <row r="39" spans="1:24" ht="36.75" customHeight="1">
      <c r="A39" s="137"/>
      <c r="B39" s="337" t="s">
        <v>208</v>
      </c>
      <c r="C39" s="346">
        <f>C37/C38</f>
        <v>383.33333333333331</v>
      </c>
      <c r="D39" s="346">
        <f>D37/D38</f>
        <v>81.069999999999993</v>
      </c>
      <c r="E39" s="338">
        <f>D39-C39</f>
        <v>-302.26333333333332</v>
      </c>
      <c r="F39" s="339">
        <f>D39/C39*100</f>
        <v>21.148695652173913</v>
      </c>
      <c r="G39" s="326" t="s">
        <v>600</v>
      </c>
    </row>
    <row r="40" spans="1:24" ht="94.5">
      <c r="A40" s="268"/>
      <c r="B40" s="337" t="s">
        <v>209</v>
      </c>
      <c r="C40" s="108">
        <v>45</v>
      </c>
      <c r="D40" s="346">
        <f>2573/78400*100</f>
        <v>3.2818877551020407</v>
      </c>
      <c r="E40" s="338">
        <f>D40-C40</f>
        <v>-41.718112244897959</v>
      </c>
      <c r="F40" s="339">
        <f>D40/C40*100</f>
        <v>7.2930839002267573</v>
      </c>
      <c r="G40" s="326" t="s">
        <v>665</v>
      </c>
    </row>
    <row r="41" spans="1:24">
      <c r="A41" s="137" t="s">
        <v>256</v>
      </c>
      <c r="B41" s="1049" t="s">
        <v>56</v>
      </c>
      <c r="C41" s="1050"/>
      <c r="D41" s="1050"/>
      <c r="E41" s="1050"/>
      <c r="F41" s="1050"/>
      <c r="G41" s="1051"/>
    </row>
    <row r="42" spans="1:24" s="341" customFormat="1" ht="31.5">
      <c r="A42" s="158"/>
      <c r="B42" s="353" t="s">
        <v>257</v>
      </c>
      <c r="C42" s="330">
        <f>'звіт І кв'!E20</f>
        <v>1950.8</v>
      </c>
      <c r="D42" s="354">
        <v>0</v>
      </c>
      <c r="E42" s="343">
        <f>D42-C42</f>
        <v>-1950.8</v>
      </c>
      <c r="F42" s="339">
        <f>D42/C42*100</f>
        <v>0</v>
      </c>
      <c r="G42" s="443" t="s">
        <v>652</v>
      </c>
      <c r="H42" s="355"/>
      <c r="I42" s="289"/>
      <c r="J42" s="289"/>
      <c r="K42" s="289"/>
      <c r="L42" s="289"/>
      <c r="M42" s="289"/>
      <c r="N42" s="289"/>
      <c r="O42" s="289"/>
      <c r="P42" s="289"/>
      <c r="Q42" s="289"/>
      <c r="R42" s="289"/>
      <c r="S42" s="289"/>
      <c r="T42" s="289"/>
      <c r="U42" s="289"/>
      <c r="V42" s="289"/>
      <c r="W42" s="289"/>
      <c r="X42" s="289"/>
    </row>
    <row r="43" spans="1:24" s="341" customFormat="1" ht="38.25" customHeight="1">
      <c r="A43" s="137"/>
      <c r="B43" s="356" t="s">
        <v>258</v>
      </c>
      <c r="C43" s="318">
        <v>2430</v>
      </c>
      <c r="D43" s="444">
        <v>81</v>
      </c>
      <c r="E43" s="343">
        <f>D43-C43</f>
        <v>-2349</v>
      </c>
      <c r="F43" s="339">
        <f>D43/C43*100</f>
        <v>3.3333333333333335</v>
      </c>
      <c r="G43" s="442" t="s">
        <v>400</v>
      </c>
      <c r="H43" s="355"/>
      <c r="I43" s="289"/>
      <c r="J43" s="289"/>
      <c r="K43" s="289"/>
      <c r="L43" s="289"/>
      <c r="M43" s="289"/>
      <c r="N43" s="289"/>
      <c r="O43" s="289"/>
      <c r="P43" s="289"/>
      <c r="Q43" s="289"/>
      <c r="R43" s="289"/>
      <c r="S43" s="289"/>
      <c r="T43" s="289"/>
      <c r="U43" s="289"/>
      <c r="V43" s="289"/>
      <c r="W43" s="289"/>
      <c r="X43" s="289"/>
    </row>
    <row r="44" spans="1:24" s="341" customFormat="1" ht="47.25">
      <c r="A44" s="137"/>
      <c r="B44" s="356" t="s">
        <v>259</v>
      </c>
      <c r="C44" s="330">
        <f>C42/C43</f>
        <v>0.80279835390946497</v>
      </c>
      <c r="D44" s="358">
        <f>16.94195/D43</f>
        <v>0.20915987654320986</v>
      </c>
      <c r="E44" s="514">
        <f>D44-C44</f>
        <v>-0.59363847736625508</v>
      </c>
      <c r="F44" s="339">
        <f>D44/C44*100</f>
        <v>26.053849702686076</v>
      </c>
      <c r="G44" s="326" t="s">
        <v>666</v>
      </c>
      <c r="H44" s="355"/>
      <c r="I44" s="289"/>
      <c r="J44" s="289"/>
      <c r="K44" s="289"/>
      <c r="L44" s="289"/>
      <c r="M44" s="289"/>
      <c r="N44" s="289"/>
      <c r="O44" s="289"/>
      <c r="P44" s="289"/>
      <c r="Q44" s="289"/>
      <c r="R44" s="289"/>
      <c r="S44" s="289"/>
      <c r="T44" s="289"/>
      <c r="U44" s="289"/>
      <c r="V44" s="289"/>
      <c r="W44" s="289"/>
      <c r="X44" s="289"/>
    </row>
    <row r="45" spans="1:24" s="341" customFormat="1" ht="63">
      <c r="A45" s="268"/>
      <c r="B45" s="356" t="s">
        <v>414</v>
      </c>
      <c r="C45" s="330">
        <v>7.3</v>
      </c>
      <c r="D45" s="515">
        <f>D43/33300</f>
        <v>2.4324324324324323E-3</v>
      </c>
      <c r="E45" s="514">
        <f>D45-C45</f>
        <v>-7.2975675675675671</v>
      </c>
      <c r="F45" s="339">
        <f>D45/C45*100</f>
        <v>3.3320992225101813E-2</v>
      </c>
      <c r="G45" s="442" t="s">
        <v>400</v>
      </c>
      <c r="H45" s="355"/>
      <c r="I45" s="289"/>
      <c r="J45" s="289"/>
      <c r="K45" s="289"/>
      <c r="L45" s="289"/>
      <c r="M45" s="289"/>
      <c r="N45" s="289"/>
      <c r="O45" s="289"/>
      <c r="P45" s="289"/>
      <c r="Q45" s="289"/>
      <c r="R45" s="289"/>
      <c r="S45" s="289"/>
      <c r="T45" s="289"/>
      <c r="U45" s="289"/>
      <c r="V45" s="289"/>
      <c r="W45" s="289"/>
      <c r="X45" s="289"/>
    </row>
    <row r="46" spans="1:24" s="341" customFormat="1" ht="32.25" customHeight="1">
      <c r="A46" s="410" t="s">
        <v>261</v>
      </c>
      <c r="B46" s="1049" t="s">
        <v>57</v>
      </c>
      <c r="C46" s="1050"/>
      <c r="D46" s="1050"/>
      <c r="E46" s="1050"/>
      <c r="F46" s="1050"/>
      <c r="G46" s="1051"/>
      <c r="H46" s="340"/>
      <c r="I46" s="289"/>
      <c r="J46" s="289"/>
      <c r="K46" s="289"/>
      <c r="L46" s="289"/>
      <c r="M46" s="289"/>
      <c r="N46" s="289"/>
      <c r="O46" s="289"/>
      <c r="P46" s="289"/>
      <c r="Q46" s="289"/>
      <c r="R46" s="289"/>
      <c r="S46" s="289"/>
      <c r="T46" s="289"/>
      <c r="U46" s="289"/>
      <c r="V46" s="289"/>
      <c r="W46" s="289"/>
      <c r="X46" s="289"/>
    </row>
    <row r="47" spans="1:24" s="341" customFormat="1" ht="31.5">
      <c r="A47" s="158"/>
      <c r="B47" s="356" t="s">
        <v>257</v>
      </c>
      <c r="C47" s="330">
        <f>'звіт І кв'!E21</f>
        <v>635</v>
      </c>
      <c r="D47" s="391">
        <f>'звіт І кв'!I21</f>
        <v>41.8</v>
      </c>
      <c r="E47" s="343">
        <f>D47-C47</f>
        <v>-593.20000000000005</v>
      </c>
      <c r="F47" s="339">
        <f>D47/C47*100</f>
        <v>6.5826771653543306</v>
      </c>
      <c r="G47" s="442" t="s">
        <v>667</v>
      </c>
      <c r="H47" s="340"/>
      <c r="I47" s="289"/>
      <c r="J47" s="289"/>
      <c r="K47" s="289"/>
      <c r="L47" s="289"/>
      <c r="M47" s="289"/>
      <c r="N47" s="289"/>
      <c r="O47" s="289"/>
      <c r="P47" s="289"/>
      <c r="Q47" s="289"/>
      <c r="R47" s="289"/>
      <c r="S47" s="289"/>
      <c r="T47" s="289"/>
      <c r="U47" s="289"/>
      <c r="V47" s="289"/>
      <c r="W47" s="289"/>
      <c r="X47" s="289"/>
    </row>
    <row r="48" spans="1:24" s="341" customFormat="1" ht="78.75">
      <c r="A48" s="137"/>
      <c r="B48" s="356" t="s">
        <v>262</v>
      </c>
      <c r="C48" s="318">
        <v>195</v>
      </c>
      <c r="D48" s="336">
        <v>16</v>
      </c>
      <c r="E48" s="343">
        <f>D48-C48</f>
        <v>-179</v>
      </c>
      <c r="F48" s="339">
        <f>D48/C48*100</f>
        <v>8.2051282051282044</v>
      </c>
      <c r="G48" s="326" t="s">
        <v>668</v>
      </c>
      <c r="H48" s="355"/>
      <c r="I48" s="289"/>
      <c r="J48" s="289"/>
      <c r="K48" s="289"/>
      <c r="L48" s="289"/>
      <c r="M48" s="289"/>
      <c r="N48" s="289"/>
      <c r="O48" s="289"/>
      <c r="P48" s="289"/>
      <c r="Q48" s="289"/>
      <c r="R48" s="289"/>
      <c r="S48" s="289"/>
      <c r="T48" s="289"/>
      <c r="U48" s="289"/>
      <c r="V48" s="289"/>
      <c r="W48" s="289"/>
      <c r="X48" s="289"/>
    </row>
    <row r="49" spans="1:24" s="341" customFormat="1" ht="51.75" customHeight="1">
      <c r="A49" s="137"/>
      <c r="B49" s="356" t="s">
        <v>263</v>
      </c>
      <c r="C49" s="330">
        <f>C47/C48</f>
        <v>3.2564102564102564</v>
      </c>
      <c r="D49" s="391">
        <f>D47/D48</f>
        <v>2.6124999999999998</v>
      </c>
      <c r="E49" s="514">
        <f>D49-C49</f>
        <v>-0.64391025641025657</v>
      </c>
      <c r="F49" s="339">
        <f>D49/C49*100</f>
        <v>80.226377952755897</v>
      </c>
      <c r="G49" s="326" t="s">
        <v>601</v>
      </c>
      <c r="H49" s="340"/>
      <c r="I49" s="289"/>
      <c r="J49" s="289"/>
      <c r="K49" s="289"/>
      <c r="L49" s="289"/>
      <c r="M49" s="289"/>
      <c r="N49" s="289"/>
      <c r="O49" s="289"/>
      <c r="P49" s="289"/>
      <c r="Q49" s="289"/>
      <c r="R49" s="289"/>
      <c r="S49" s="289"/>
      <c r="T49" s="289"/>
      <c r="U49" s="289"/>
      <c r="V49" s="289"/>
      <c r="W49" s="289"/>
      <c r="X49" s="289"/>
    </row>
    <row r="50" spans="1:24" s="341" customFormat="1" ht="78.75">
      <c r="A50" s="268"/>
      <c r="B50" s="356" t="s">
        <v>580</v>
      </c>
      <c r="C50" s="330">
        <v>65</v>
      </c>
      <c r="D50" s="391">
        <f>D48/57*100</f>
        <v>28.07017543859649</v>
      </c>
      <c r="E50" s="514">
        <f>D50-C50</f>
        <v>-36.929824561403507</v>
      </c>
      <c r="F50" s="339">
        <f>D50/C50*100</f>
        <v>43.184885290148443</v>
      </c>
      <c r="G50" s="442" t="s">
        <v>686</v>
      </c>
      <c r="H50" s="355"/>
      <c r="I50" s="289"/>
      <c r="J50" s="289"/>
      <c r="K50" s="289"/>
      <c r="L50" s="289"/>
      <c r="M50" s="289"/>
      <c r="N50" s="289"/>
      <c r="O50" s="289"/>
      <c r="P50" s="289"/>
      <c r="Q50" s="289"/>
      <c r="R50" s="289"/>
      <c r="S50" s="289"/>
      <c r="T50" s="289"/>
      <c r="U50" s="289"/>
      <c r="V50" s="289"/>
      <c r="W50" s="289"/>
      <c r="X50" s="289"/>
    </row>
    <row r="51" spans="1:24" s="341" customFormat="1" ht="36.75" customHeight="1">
      <c r="A51" s="137" t="s">
        <v>265</v>
      </c>
      <c r="B51" s="999" t="s">
        <v>415</v>
      </c>
      <c r="C51" s="1000"/>
      <c r="D51" s="1000"/>
      <c r="E51" s="1000"/>
      <c r="F51" s="1000"/>
      <c r="G51" s="1001"/>
      <c r="H51" s="340"/>
      <c r="I51" s="289"/>
      <c r="J51" s="289"/>
      <c r="K51" s="289"/>
      <c r="L51" s="289"/>
      <c r="M51" s="289"/>
      <c r="N51" s="289"/>
      <c r="O51" s="289"/>
      <c r="P51" s="289"/>
      <c r="Q51" s="289"/>
      <c r="R51" s="289"/>
      <c r="S51" s="289"/>
      <c r="T51" s="289"/>
      <c r="U51" s="289"/>
      <c r="V51" s="289"/>
      <c r="W51" s="289"/>
      <c r="X51" s="289"/>
    </row>
    <row r="52" spans="1:24" s="341" customFormat="1">
      <c r="A52" s="158"/>
      <c r="B52" s="445" t="s">
        <v>196</v>
      </c>
      <c r="C52" s="330">
        <f>'звіт І кв'!E23</f>
        <v>0</v>
      </c>
      <c r="D52" s="108">
        <f>'звіт І кв'!L23</f>
        <v>0</v>
      </c>
      <c r="E52" s="191">
        <f>D52-C52</f>
        <v>0</v>
      </c>
      <c r="F52" s="192">
        <v>0</v>
      </c>
      <c r="G52" s="193" t="s">
        <v>400</v>
      </c>
      <c r="H52" s="361"/>
      <c r="I52" s="362"/>
      <c r="J52" s="289"/>
      <c r="K52" s="289"/>
      <c r="L52" s="289"/>
      <c r="M52" s="289"/>
      <c r="N52" s="289"/>
      <c r="O52" s="289"/>
      <c r="P52" s="289"/>
      <c r="Q52" s="289"/>
      <c r="R52" s="289"/>
      <c r="S52" s="289"/>
      <c r="T52" s="289"/>
      <c r="U52" s="289"/>
      <c r="V52" s="289"/>
      <c r="W52" s="289"/>
      <c r="X52" s="289"/>
    </row>
    <row r="53" spans="1:24" s="341" customFormat="1" ht="47.25">
      <c r="A53" s="137"/>
      <c r="B53" s="267" t="s">
        <v>416</v>
      </c>
      <c r="C53" s="318">
        <v>5</v>
      </c>
      <c r="D53" s="318">
        <v>0</v>
      </c>
      <c r="E53" s="191">
        <f>D53-C53</f>
        <v>-5</v>
      </c>
      <c r="F53" s="191">
        <f>D53/C53*100</f>
        <v>0</v>
      </c>
      <c r="G53" s="193" t="s">
        <v>400</v>
      </c>
      <c r="H53" s="361"/>
      <c r="I53" s="362"/>
      <c r="J53" s="289"/>
      <c r="K53" s="289"/>
      <c r="L53" s="289"/>
      <c r="M53" s="289"/>
      <c r="N53" s="289"/>
      <c r="O53" s="289"/>
      <c r="P53" s="289"/>
      <c r="Q53" s="289"/>
      <c r="R53" s="289"/>
      <c r="S53" s="289"/>
      <c r="T53" s="289"/>
      <c r="U53" s="289"/>
      <c r="V53" s="289"/>
      <c r="W53" s="289"/>
      <c r="X53" s="289"/>
    </row>
    <row r="54" spans="1:24" s="341" customFormat="1" ht="31.5">
      <c r="A54" s="137"/>
      <c r="B54" s="267" t="s">
        <v>417</v>
      </c>
      <c r="C54" s="330">
        <f>C52/C53</f>
        <v>0</v>
      </c>
      <c r="D54" s="330">
        <v>0</v>
      </c>
      <c r="E54" s="203">
        <f>D54-C54</f>
        <v>0</v>
      </c>
      <c r="F54" s="192">
        <v>0</v>
      </c>
      <c r="G54" s="193" t="s">
        <v>400</v>
      </c>
      <c r="H54" s="361"/>
      <c r="I54" s="362"/>
      <c r="J54" s="289"/>
      <c r="K54" s="289"/>
      <c r="L54" s="289"/>
      <c r="M54" s="289"/>
      <c r="N54" s="289"/>
      <c r="O54" s="289"/>
      <c r="P54" s="289"/>
      <c r="Q54" s="289"/>
      <c r="R54" s="289"/>
      <c r="S54" s="289"/>
      <c r="T54" s="289"/>
      <c r="U54" s="289"/>
      <c r="V54" s="289"/>
      <c r="W54" s="289"/>
      <c r="X54" s="289"/>
    </row>
    <row r="55" spans="1:24" s="341" customFormat="1" ht="47.25">
      <c r="A55" s="137"/>
      <c r="B55" s="267" t="s">
        <v>418</v>
      </c>
      <c r="C55" s="318">
        <v>8</v>
      </c>
      <c r="D55" s="318">
        <v>0</v>
      </c>
      <c r="E55" s="191">
        <f>D55-C55</f>
        <v>-8</v>
      </c>
      <c r="F55" s="191">
        <f>D55/C55*100</f>
        <v>0</v>
      </c>
      <c r="G55" s="193" t="s">
        <v>400</v>
      </c>
      <c r="H55" s="361"/>
      <c r="I55" s="362"/>
      <c r="J55" s="289"/>
      <c r="K55" s="289"/>
      <c r="L55" s="289"/>
      <c r="M55" s="289"/>
      <c r="N55" s="289"/>
      <c r="O55" s="289"/>
      <c r="P55" s="289"/>
      <c r="Q55" s="289"/>
      <c r="R55" s="289"/>
      <c r="S55" s="289"/>
      <c r="T55" s="289"/>
      <c r="U55" s="289"/>
      <c r="V55" s="289"/>
      <c r="W55" s="289"/>
      <c r="X55" s="289"/>
    </row>
    <row r="56" spans="1:24" s="341" customFormat="1">
      <c r="A56" s="137"/>
      <c r="B56" s="405" t="s">
        <v>419</v>
      </c>
      <c r="C56" s="318"/>
      <c r="D56" s="431"/>
      <c r="E56" s="191"/>
      <c r="F56" s="191"/>
      <c r="G56" s="193"/>
      <c r="H56" s="340"/>
      <c r="I56" s="362"/>
      <c r="J56" s="289"/>
      <c r="K56" s="289"/>
      <c r="L56" s="289"/>
      <c r="M56" s="289"/>
      <c r="N56" s="289"/>
      <c r="O56" s="289"/>
      <c r="P56" s="289"/>
      <c r="Q56" s="289"/>
      <c r="R56" s="289"/>
      <c r="S56" s="289"/>
      <c r="T56" s="289"/>
      <c r="U56" s="289"/>
      <c r="V56" s="289"/>
      <c r="W56" s="289"/>
      <c r="X56" s="289"/>
    </row>
    <row r="57" spans="1:24" s="341" customFormat="1">
      <c r="A57" s="344"/>
      <c r="B57" s="363" t="s">
        <v>420</v>
      </c>
      <c r="C57" s="108">
        <f>'звіт І кв'!E26</f>
        <v>3623.29</v>
      </c>
      <c r="D57" s="330">
        <f>'звіт І кв'!I26</f>
        <v>1641.6786299999999</v>
      </c>
      <c r="E57" s="108">
        <f t="shared" ref="E57:E63" si="0">D57-C57</f>
        <v>-1981.6113700000001</v>
      </c>
      <c r="F57" s="360">
        <f t="shared" ref="F57:F63" si="1">D57/C57*100</f>
        <v>45.309059721965397</v>
      </c>
      <c r="G57" s="193" t="s">
        <v>400</v>
      </c>
      <c r="H57" s="340"/>
      <c r="I57" s="362"/>
      <c r="J57" s="289"/>
      <c r="K57" s="289"/>
      <c r="L57" s="289"/>
      <c r="M57" s="289"/>
      <c r="N57" s="289"/>
      <c r="O57" s="289"/>
      <c r="P57" s="289"/>
      <c r="Q57" s="289"/>
      <c r="R57" s="289"/>
      <c r="S57" s="289"/>
      <c r="T57" s="289"/>
      <c r="U57" s="289"/>
      <c r="V57" s="289"/>
      <c r="W57" s="289"/>
      <c r="X57" s="289"/>
    </row>
    <row r="58" spans="1:24" s="341" customFormat="1" ht="31.5">
      <c r="A58" s="344"/>
      <c r="B58" s="363" t="s">
        <v>421</v>
      </c>
      <c r="C58" s="318">
        <v>1650</v>
      </c>
      <c r="D58" s="191">
        <f>SUM(D59:D61)</f>
        <v>1128</v>
      </c>
      <c r="E58" s="108">
        <f t="shared" si="0"/>
        <v>-522</v>
      </c>
      <c r="F58" s="360">
        <f t="shared" si="1"/>
        <v>68.36363636363636</v>
      </c>
      <c r="G58" s="193" t="s">
        <v>400</v>
      </c>
      <c r="H58" s="355"/>
      <c r="I58" s="362"/>
      <c r="J58" s="289"/>
      <c r="K58" s="289"/>
      <c r="L58" s="289"/>
      <c r="M58" s="289"/>
      <c r="N58" s="289"/>
      <c r="O58" s="289"/>
      <c r="P58" s="289"/>
      <c r="Q58" s="289"/>
      <c r="R58" s="289"/>
      <c r="S58" s="289"/>
      <c r="T58" s="289"/>
      <c r="U58" s="289"/>
      <c r="V58" s="289"/>
      <c r="W58" s="289"/>
      <c r="X58" s="289"/>
    </row>
    <row r="59" spans="1:24" s="341" customFormat="1" ht="31.5">
      <c r="A59" s="344"/>
      <c r="B59" s="363" t="s">
        <v>422</v>
      </c>
      <c r="C59" s="318">
        <v>1400</v>
      </c>
      <c r="D59" s="191">
        <f>311+156+226</f>
        <v>693</v>
      </c>
      <c r="E59" s="318">
        <f t="shared" si="0"/>
        <v>-707</v>
      </c>
      <c r="F59" s="360">
        <f t="shared" si="1"/>
        <v>49.5</v>
      </c>
      <c r="G59" s="193" t="s">
        <v>400</v>
      </c>
      <c r="H59" s="355"/>
      <c r="I59" s="362"/>
      <c r="J59" s="289"/>
      <c r="K59" s="289"/>
      <c r="L59" s="289"/>
      <c r="M59" s="289"/>
      <c r="N59" s="289"/>
      <c r="O59" s="289"/>
      <c r="P59" s="289"/>
      <c r="Q59" s="289"/>
      <c r="R59" s="289"/>
      <c r="S59" s="289"/>
      <c r="T59" s="289"/>
      <c r="U59" s="289"/>
      <c r="V59" s="289"/>
      <c r="W59" s="289"/>
      <c r="X59" s="289"/>
    </row>
    <row r="60" spans="1:24" s="341" customFormat="1" ht="94.5">
      <c r="A60" s="344"/>
      <c r="B60" s="363" t="s">
        <v>423</v>
      </c>
      <c r="C60" s="318">
        <v>0</v>
      </c>
      <c r="D60" s="191">
        <f>3+432</f>
        <v>435</v>
      </c>
      <c r="E60" s="524">
        <f t="shared" si="0"/>
        <v>435</v>
      </c>
      <c r="F60" s="360">
        <v>435</v>
      </c>
      <c r="G60" s="325" t="s">
        <v>669</v>
      </c>
      <c r="H60" s="355"/>
      <c r="I60" s="362"/>
      <c r="J60" s="289"/>
      <c r="K60" s="289"/>
      <c r="L60" s="289"/>
      <c r="M60" s="289"/>
      <c r="N60" s="289"/>
      <c r="O60" s="289"/>
      <c r="P60" s="289"/>
      <c r="Q60" s="289"/>
      <c r="R60" s="289"/>
      <c r="S60" s="289"/>
      <c r="T60" s="289"/>
      <c r="U60" s="289"/>
      <c r="V60" s="289"/>
      <c r="W60" s="289"/>
      <c r="X60" s="289"/>
    </row>
    <row r="61" spans="1:24" s="341" customFormat="1" ht="94.5">
      <c r="A61" s="344"/>
      <c r="B61" s="363" t="s">
        <v>424</v>
      </c>
      <c r="C61" s="318">
        <v>250</v>
      </c>
      <c r="D61" s="191">
        <v>0</v>
      </c>
      <c r="E61" s="318">
        <f t="shared" si="0"/>
        <v>-250</v>
      </c>
      <c r="F61" s="360">
        <f t="shared" si="1"/>
        <v>0</v>
      </c>
      <c r="G61" s="193" t="s">
        <v>687</v>
      </c>
      <c r="H61" s="355"/>
      <c r="I61" s="362"/>
      <c r="J61" s="289"/>
      <c r="K61" s="289"/>
      <c r="L61" s="289"/>
      <c r="M61" s="289"/>
      <c r="N61" s="289"/>
      <c r="O61" s="289"/>
      <c r="P61" s="289"/>
      <c r="Q61" s="289"/>
      <c r="R61" s="289"/>
      <c r="S61" s="289"/>
      <c r="T61" s="289"/>
      <c r="U61" s="289"/>
      <c r="V61" s="289"/>
      <c r="W61" s="289"/>
      <c r="X61" s="289"/>
    </row>
    <row r="62" spans="1:24" ht="31.5">
      <c r="A62" s="137"/>
      <c r="B62" s="267" t="s">
        <v>425</v>
      </c>
      <c r="C62" s="330">
        <f>C57/C58</f>
        <v>2.1959333333333335</v>
      </c>
      <c r="D62" s="203">
        <f>D57/D58</f>
        <v>1.4553888563829787</v>
      </c>
      <c r="E62" s="203">
        <f t="shared" si="0"/>
        <v>-0.74054447695035486</v>
      </c>
      <c r="F62" s="192">
        <f t="shared" si="1"/>
        <v>66.276550125215323</v>
      </c>
      <c r="G62" s="193" t="s">
        <v>400</v>
      </c>
      <c r="I62" s="265"/>
    </row>
    <row r="63" spans="1:24" s="341" customFormat="1" ht="78.75">
      <c r="A63" s="359"/>
      <c r="B63" s="363" t="s">
        <v>426</v>
      </c>
      <c r="C63" s="330">
        <v>35</v>
      </c>
      <c r="D63" s="203">
        <f>D58/5811*100</f>
        <v>19.411461022199276</v>
      </c>
      <c r="E63" s="330">
        <f t="shared" si="0"/>
        <v>-15.588538977800724</v>
      </c>
      <c r="F63" s="360">
        <f t="shared" si="1"/>
        <v>55.461317206283645</v>
      </c>
      <c r="G63" s="193" t="s">
        <v>400</v>
      </c>
      <c r="H63" s="355"/>
      <c r="I63" s="362"/>
      <c r="J63" s="289"/>
      <c r="K63" s="289"/>
      <c r="L63" s="289"/>
      <c r="M63" s="289"/>
      <c r="N63" s="289"/>
      <c r="O63" s="289"/>
      <c r="P63" s="289"/>
      <c r="Q63" s="289"/>
      <c r="R63" s="289"/>
      <c r="S63" s="289"/>
      <c r="T63" s="289"/>
      <c r="U63" s="289"/>
      <c r="V63" s="289"/>
      <c r="W63" s="289"/>
      <c r="X63" s="289"/>
    </row>
    <row r="64" spans="1:24" s="341" customFormat="1">
      <c r="A64" s="344" t="s">
        <v>427</v>
      </c>
      <c r="B64" s="1049" t="s">
        <v>430</v>
      </c>
      <c r="C64" s="1050"/>
      <c r="D64" s="1050"/>
      <c r="E64" s="1050"/>
      <c r="F64" s="1050"/>
      <c r="G64" s="1051"/>
      <c r="H64" s="340"/>
      <c r="I64" s="289"/>
      <c r="J64" s="289"/>
      <c r="K64" s="289"/>
      <c r="L64" s="289"/>
      <c r="M64" s="289"/>
      <c r="N64" s="289"/>
      <c r="O64" s="289"/>
      <c r="P64" s="289"/>
      <c r="Q64" s="289"/>
      <c r="R64" s="289"/>
      <c r="S64" s="289"/>
      <c r="T64" s="289"/>
      <c r="U64" s="289"/>
      <c r="V64" s="289"/>
      <c r="W64" s="289"/>
      <c r="X64" s="289"/>
    </row>
    <row r="65" spans="1:24" s="341" customFormat="1">
      <c r="A65" s="352"/>
      <c r="B65" s="353" t="s">
        <v>257</v>
      </c>
      <c r="C65" s="108">
        <f>'звіт І кв'!E27</f>
        <v>4838.03</v>
      </c>
      <c r="D65" s="346">
        <f>'звіт І кв'!I27</f>
        <v>462.19301999999999</v>
      </c>
      <c r="E65" s="364">
        <f>D65-C65</f>
        <v>-4375.83698</v>
      </c>
      <c r="F65" s="339">
        <f>D65/C65*100</f>
        <v>9.553331004561775</v>
      </c>
      <c r="G65" s="193" t="s">
        <v>400</v>
      </c>
      <c r="H65" s="340"/>
      <c r="I65" s="289"/>
      <c r="J65" s="289"/>
      <c r="K65" s="289"/>
      <c r="L65" s="289"/>
      <c r="M65" s="289"/>
      <c r="N65" s="289"/>
      <c r="O65" s="289"/>
      <c r="P65" s="289"/>
      <c r="Q65" s="289"/>
      <c r="R65" s="289"/>
      <c r="S65" s="289"/>
      <c r="T65" s="289"/>
      <c r="U65" s="289"/>
      <c r="V65" s="289"/>
      <c r="W65" s="289"/>
      <c r="X65" s="289"/>
    </row>
    <row r="66" spans="1:24" s="341" customFormat="1" ht="34.5" customHeight="1">
      <c r="A66" s="344"/>
      <c r="B66" s="345" t="s">
        <v>72</v>
      </c>
      <c r="C66" s="432"/>
      <c r="D66" s="365"/>
      <c r="E66" s="343"/>
      <c r="F66" s="339"/>
      <c r="G66" s="366"/>
      <c r="H66" s="340"/>
      <c r="I66" s="289"/>
      <c r="J66" s="289"/>
      <c r="K66" s="289"/>
      <c r="L66" s="289"/>
      <c r="M66" s="289"/>
      <c r="N66" s="289"/>
      <c r="O66" s="289"/>
      <c r="P66" s="289"/>
      <c r="Q66" s="289"/>
      <c r="R66" s="289"/>
      <c r="S66" s="289"/>
      <c r="T66" s="289"/>
      <c r="U66" s="289"/>
      <c r="V66" s="289"/>
      <c r="W66" s="289"/>
      <c r="X66" s="289"/>
    </row>
    <row r="67" spans="1:24" s="341" customFormat="1" ht="31.5">
      <c r="A67" s="344"/>
      <c r="B67" s="356" t="s">
        <v>434</v>
      </c>
      <c r="C67" s="318">
        <v>37500</v>
      </c>
      <c r="D67" s="336">
        <v>9204</v>
      </c>
      <c r="E67" s="367">
        <f>D67-C67</f>
        <v>-28296</v>
      </c>
      <c r="F67" s="339">
        <f>D67/C67*100</f>
        <v>24.544</v>
      </c>
      <c r="G67" s="193" t="s">
        <v>400</v>
      </c>
      <c r="H67" s="361"/>
      <c r="I67" s="289"/>
      <c r="J67" s="289"/>
      <c r="K67" s="289"/>
      <c r="L67" s="289"/>
      <c r="M67" s="289"/>
      <c r="N67" s="289"/>
      <c r="O67" s="289"/>
      <c r="P67" s="289"/>
      <c r="Q67" s="289"/>
      <c r="R67" s="289"/>
      <c r="S67" s="289"/>
      <c r="T67" s="289"/>
      <c r="U67" s="289"/>
      <c r="V67" s="289"/>
      <c r="W67" s="289"/>
      <c r="X67" s="289"/>
    </row>
    <row r="68" spans="1:24" s="341" customFormat="1" ht="47.25">
      <c r="A68" s="344"/>
      <c r="B68" s="345" t="s">
        <v>73</v>
      </c>
      <c r="C68" s="368"/>
      <c r="D68" s="368"/>
      <c r="E68" s="368"/>
      <c r="F68" s="368"/>
      <c r="G68" s="292"/>
      <c r="H68" s="340"/>
      <c r="I68" s="289"/>
      <c r="J68" s="289"/>
      <c r="K68" s="289"/>
      <c r="L68" s="289"/>
      <c r="M68" s="289"/>
      <c r="N68" s="289"/>
      <c r="O68" s="289"/>
      <c r="P68" s="289"/>
      <c r="Q68" s="289"/>
      <c r="R68" s="289"/>
      <c r="S68" s="289"/>
      <c r="T68" s="289"/>
      <c r="U68" s="289"/>
      <c r="V68" s="289"/>
      <c r="W68" s="289"/>
      <c r="X68" s="289"/>
    </row>
    <row r="69" spans="1:24" s="341" customFormat="1" ht="63">
      <c r="A69" s="344"/>
      <c r="B69" s="369" t="s">
        <v>428</v>
      </c>
      <c r="C69" s="318">
        <v>300</v>
      </c>
      <c r="D69" s="336">
        <v>217</v>
      </c>
      <c r="E69" s="367">
        <f>D69-C69</f>
        <v>-83</v>
      </c>
      <c r="F69" s="339">
        <f>D69/C69*100</f>
        <v>72.333333333333343</v>
      </c>
      <c r="G69" s="193" t="s">
        <v>400</v>
      </c>
      <c r="H69" s="361"/>
      <c r="I69" s="289"/>
      <c r="J69" s="289"/>
      <c r="K69" s="289"/>
      <c r="L69" s="289"/>
      <c r="M69" s="289"/>
      <c r="N69" s="289"/>
      <c r="O69" s="289"/>
      <c r="P69" s="289"/>
      <c r="Q69" s="289"/>
      <c r="R69" s="289"/>
      <c r="S69" s="289"/>
      <c r="T69" s="289"/>
      <c r="U69" s="289"/>
      <c r="V69" s="289"/>
      <c r="W69" s="289"/>
      <c r="X69" s="289"/>
    </row>
    <row r="70" spans="1:24" ht="47.25">
      <c r="A70" s="137"/>
      <c r="B70" s="269" t="s">
        <v>429</v>
      </c>
      <c r="C70" s="330">
        <v>5.72</v>
      </c>
      <c r="D70" s="391">
        <f>'звіт І кв'!K29/'показники І кв'!D69</f>
        <v>1.9741935483870967</v>
      </c>
      <c r="E70" s="417">
        <f>D70-C70</f>
        <v>-3.745806451612903</v>
      </c>
      <c r="F70" s="114">
        <f>D70/C70*100</f>
        <v>34.513873223550647</v>
      </c>
      <c r="G70" s="193" t="s">
        <v>670</v>
      </c>
    </row>
    <row r="71" spans="1:24" ht="47.25">
      <c r="A71" s="137"/>
      <c r="B71" s="260" t="s">
        <v>74</v>
      </c>
      <c r="C71" s="368"/>
      <c r="D71" s="368"/>
      <c r="E71" s="275"/>
      <c r="F71" s="275"/>
      <c r="G71" s="261"/>
    </row>
    <row r="72" spans="1:24" s="341" customFormat="1" ht="78.75">
      <c r="A72" s="344"/>
      <c r="B72" s="370" t="s">
        <v>431</v>
      </c>
      <c r="C72" s="318">
        <v>300</v>
      </c>
      <c r="D72" s="332">
        <v>331</v>
      </c>
      <c r="E72" s="525">
        <f>D72-C72</f>
        <v>31</v>
      </c>
      <c r="F72" s="332">
        <f>D72/C72*100</f>
        <v>110.33333333333333</v>
      </c>
      <c r="G72" s="326" t="s">
        <v>712</v>
      </c>
      <c r="H72" s="355"/>
      <c r="I72" s="289"/>
      <c r="J72" s="289"/>
      <c r="K72" s="289"/>
      <c r="L72" s="289"/>
      <c r="M72" s="289"/>
      <c r="N72" s="289"/>
      <c r="O72" s="289"/>
      <c r="P72" s="289"/>
      <c r="Q72" s="289"/>
      <c r="R72" s="289"/>
      <c r="S72" s="289"/>
      <c r="T72" s="289"/>
      <c r="U72" s="289"/>
      <c r="V72" s="289"/>
      <c r="W72" s="289"/>
      <c r="X72" s="289"/>
    </row>
    <row r="73" spans="1:24" s="341" customFormat="1" ht="236.25">
      <c r="A73" s="359"/>
      <c r="B73" s="369" t="s">
        <v>579</v>
      </c>
      <c r="C73" s="318">
        <v>2.5</v>
      </c>
      <c r="D73" s="365" t="s">
        <v>653</v>
      </c>
      <c r="E73" s="412" t="s">
        <v>653</v>
      </c>
      <c r="F73" s="332" t="s">
        <v>653</v>
      </c>
      <c r="G73" s="122" t="s">
        <v>688</v>
      </c>
      <c r="H73" s="355"/>
      <c r="I73" s="289"/>
      <c r="J73" s="289"/>
      <c r="K73" s="289"/>
      <c r="L73" s="289"/>
      <c r="M73" s="289"/>
      <c r="N73" s="289"/>
      <c r="O73" s="289"/>
      <c r="P73" s="289"/>
      <c r="Q73" s="289"/>
      <c r="R73" s="289"/>
      <c r="S73" s="289"/>
      <c r="T73" s="289"/>
      <c r="U73" s="289"/>
      <c r="V73" s="289"/>
      <c r="W73" s="289"/>
      <c r="X73" s="289"/>
    </row>
    <row r="74" spans="1:24" ht="39" customHeight="1">
      <c r="A74" s="137" t="s">
        <v>71</v>
      </c>
      <c r="B74" s="1033" t="s">
        <v>432</v>
      </c>
      <c r="C74" s="1034"/>
      <c r="D74" s="1034"/>
      <c r="E74" s="1034"/>
      <c r="F74" s="1034"/>
      <c r="G74" s="1035"/>
    </row>
    <row r="75" spans="1:24" s="341" customFormat="1" ht="31.5">
      <c r="A75" s="352"/>
      <c r="B75" s="356" t="s">
        <v>249</v>
      </c>
      <c r="C75" s="330">
        <f>'звіт І кв'!E31</f>
        <v>300</v>
      </c>
      <c r="D75" s="365">
        <f>'звіт І кв'!I31</f>
        <v>0</v>
      </c>
      <c r="E75" s="351">
        <f>D75-C75</f>
        <v>-300</v>
      </c>
      <c r="F75" s="332">
        <f>D75/C75*100</f>
        <v>0</v>
      </c>
      <c r="G75" s="326" t="s">
        <v>690</v>
      </c>
      <c r="H75" s="340"/>
      <c r="I75" s="289"/>
      <c r="J75" s="289"/>
      <c r="K75" s="289"/>
      <c r="L75" s="289"/>
      <c r="M75" s="289"/>
      <c r="N75" s="289"/>
      <c r="O75" s="289"/>
      <c r="P75" s="289"/>
      <c r="Q75" s="289"/>
      <c r="R75" s="289"/>
      <c r="S75" s="289"/>
      <c r="T75" s="289"/>
      <c r="U75" s="289"/>
      <c r="V75" s="289"/>
      <c r="W75" s="289"/>
      <c r="X75" s="289"/>
    </row>
    <row r="76" spans="1:24" ht="51.75" customHeight="1">
      <c r="A76" s="137"/>
      <c r="B76" s="266" t="s">
        <v>436</v>
      </c>
      <c r="C76" s="318">
        <v>120</v>
      </c>
      <c r="D76" s="332">
        <v>0</v>
      </c>
      <c r="E76" s="236">
        <f>D76-C76</f>
        <v>-120</v>
      </c>
      <c r="F76" s="143">
        <f>D76/C76*100</f>
        <v>0</v>
      </c>
      <c r="G76" s="326" t="s">
        <v>689</v>
      </c>
    </row>
    <row r="77" spans="1:24" ht="31.5">
      <c r="A77" s="137"/>
      <c r="B77" s="266" t="s">
        <v>293</v>
      </c>
      <c r="C77" s="330">
        <f>C75/C76</f>
        <v>2.5</v>
      </c>
      <c r="D77" s="365">
        <v>0</v>
      </c>
      <c r="E77" s="219">
        <f>D77-C77</f>
        <v>-2.5</v>
      </c>
      <c r="F77" s="143">
        <f>D77/C77*100</f>
        <v>0</v>
      </c>
      <c r="G77" s="326" t="s">
        <v>690</v>
      </c>
    </row>
    <row r="78" spans="1:24" ht="47.25">
      <c r="A78" s="268"/>
      <c r="B78" s="266" t="s">
        <v>435</v>
      </c>
      <c r="C78" s="318">
        <v>80</v>
      </c>
      <c r="D78" s="365" t="s">
        <v>653</v>
      </c>
      <c r="E78" s="236" t="s">
        <v>653</v>
      </c>
      <c r="F78" s="143" t="s">
        <v>653</v>
      </c>
      <c r="G78" s="326" t="s">
        <v>690</v>
      </c>
    </row>
    <row r="79" spans="1:24">
      <c r="A79" s="271" t="s">
        <v>78</v>
      </c>
      <c r="B79" s="1055" t="s">
        <v>77</v>
      </c>
      <c r="C79" s="1047"/>
      <c r="D79" s="1047"/>
      <c r="E79" s="1047"/>
      <c r="F79" s="1047"/>
      <c r="G79" s="1048"/>
    </row>
    <row r="80" spans="1:24" ht="23.25" customHeight="1">
      <c r="A80" s="272" t="s">
        <v>296</v>
      </c>
      <c r="B80" s="999" t="s">
        <v>433</v>
      </c>
      <c r="C80" s="1000"/>
      <c r="D80" s="1000"/>
      <c r="E80" s="1000"/>
      <c r="F80" s="1000"/>
      <c r="G80" s="1001"/>
    </row>
    <row r="81" spans="1:24" s="341" customFormat="1">
      <c r="A81" s="371"/>
      <c r="B81" s="356" t="s">
        <v>439</v>
      </c>
      <c r="C81" s="108">
        <f>'звіт І кв'!E33</f>
        <v>6080.38</v>
      </c>
      <c r="D81" s="108">
        <f>'звіт І кв'!I33</f>
        <v>138.36407</v>
      </c>
      <c r="E81" s="108">
        <f>D81-C81</f>
        <v>-5942.0159300000005</v>
      </c>
      <c r="F81" s="360">
        <f>D81/C81*100</f>
        <v>2.2755826116130899</v>
      </c>
      <c r="G81" s="443" t="s">
        <v>659</v>
      </c>
      <c r="H81" s="340"/>
      <c r="I81" s="289"/>
      <c r="J81" s="289"/>
      <c r="K81" s="289"/>
      <c r="L81" s="289"/>
      <c r="M81" s="289"/>
      <c r="N81" s="289"/>
      <c r="O81" s="289"/>
      <c r="P81" s="289"/>
      <c r="Q81" s="289"/>
      <c r="R81" s="289"/>
      <c r="S81" s="289"/>
      <c r="T81" s="289"/>
      <c r="U81" s="289"/>
      <c r="V81" s="289"/>
      <c r="W81" s="289"/>
      <c r="X81" s="289"/>
    </row>
    <row r="82" spans="1:24" s="341" customFormat="1" ht="189">
      <c r="A82" s="372"/>
      <c r="B82" s="369" t="s">
        <v>437</v>
      </c>
      <c r="C82" s="318">
        <v>140000</v>
      </c>
      <c r="D82" s="318">
        <v>86722</v>
      </c>
      <c r="E82" s="318">
        <f t="shared" ref="E82:E96" si="2">D82-C82</f>
        <v>-53278</v>
      </c>
      <c r="F82" s="360">
        <f t="shared" ref="F82:F96" si="3">D82/C82*100</f>
        <v>61.944285714285719</v>
      </c>
      <c r="G82" s="443" t="s">
        <v>654</v>
      </c>
      <c r="H82" s="355"/>
      <c r="I82" s="289"/>
      <c r="J82" s="289"/>
      <c r="K82" s="289"/>
      <c r="L82" s="289"/>
      <c r="M82" s="289"/>
      <c r="N82" s="289"/>
      <c r="O82" s="289"/>
      <c r="P82" s="289"/>
      <c r="Q82" s="289"/>
      <c r="R82" s="289"/>
      <c r="S82" s="289"/>
      <c r="T82" s="289"/>
      <c r="U82" s="289"/>
      <c r="V82" s="289"/>
      <c r="W82" s="289"/>
      <c r="X82" s="289"/>
    </row>
    <row r="83" spans="1:24" s="341" customFormat="1" ht="173.25">
      <c r="A83" s="372"/>
      <c r="B83" s="373" t="s">
        <v>438</v>
      </c>
      <c r="C83" s="318">
        <v>3360</v>
      </c>
      <c r="D83" s="318">
        <v>1049</v>
      </c>
      <c r="E83" s="318">
        <f t="shared" si="2"/>
        <v>-2311</v>
      </c>
      <c r="F83" s="360">
        <f t="shared" si="3"/>
        <v>31.220238095238095</v>
      </c>
      <c r="G83" s="443" t="s">
        <v>671</v>
      </c>
      <c r="H83" s="355"/>
      <c r="I83" s="289"/>
      <c r="J83" s="289"/>
      <c r="K83" s="289"/>
      <c r="L83" s="289"/>
      <c r="M83" s="289"/>
      <c r="N83" s="289"/>
      <c r="O83" s="289"/>
      <c r="P83" s="289"/>
      <c r="Q83" s="289"/>
      <c r="R83" s="289"/>
      <c r="S83" s="289"/>
      <c r="T83" s="289"/>
      <c r="U83" s="289"/>
      <c r="V83" s="289"/>
      <c r="W83" s="289"/>
      <c r="X83" s="289"/>
    </row>
    <row r="84" spans="1:24" ht="31.5">
      <c r="A84" s="274"/>
      <c r="B84" s="270" t="s">
        <v>440</v>
      </c>
      <c r="C84" s="330">
        <f>C81/C83</f>
        <v>1.8096369047619048</v>
      </c>
      <c r="D84" s="330">
        <f>3313.53/1983</f>
        <v>1.6709682299546142</v>
      </c>
      <c r="E84" s="203">
        <f t="shared" si="2"/>
        <v>-0.1386686748072905</v>
      </c>
      <c r="F84" s="192">
        <f t="shared" si="3"/>
        <v>92.337210053442448</v>
      </c>
      <c r="G84" s="122" t="s">
        <v>400</v>
      </c>
      <c r="H84" s="340"/>
    </row>
    <row r="85" spans="1:24" ht="94.5">
      <c r="A85" s="274"/>
      <c r="B85" s="270" t="s">
        <v>441</v>
      </c>
      <c r="C85" s="330">
        <v>2.4</v>
      </c>
      <c r="D85" s="330">
        <f>D83/D82*100</f>
        <v>1.209612324439012</v>
      </c>
      <c r="E85" s="203">
        <f t="shared" si="2"/>
        <v>-1.1903876755609879</v>
      </c>
      <c r="F85" s="192">
        <f t="shared" si="3"/>
        <v>50.400513518292165</v>
      </c>
      <c r="G85" s="122" t="s">
        <v>655</v>
      </c>
      <c r="H85" s="355"/>
    </row>
    <row r="86" spans="1:24" ht="141.75">
      <c r="A86" s="273"/>
      <c r="B86" s="270" t="s">
        <v>442</v>
      </c>
      <c r="C86" s="318">
        <v>73.7</v>
      </c>
      <c r="D86" s="147">
        <f>D120*100/23100</f>
        <v>56.731601731601735</v>
      </c>
      <c r="E86" s="147">
        <f t="shared" si="2"/>
        <v>-16.968398268398268</v>
      </c>
      <c r="F86" s="192">
        <f t="shared" si="3"/>
        <v>76.976393122933146</v>
      </c>
      <c r="G86" s="442" t="s">
        <v>672</v>
      </c>
      <c r="H86" s="355"/>
    </row>
    <row r="87" spans="1:24" s="198" customFormat="1" ht="31.5" customHeight="1">
      <c r="A87" s="274" t="s">
        <v>297</v>
      </c>
      <c r="B87" s="999" t="s">
        <v>443</v>
      </c>
      <c r="C87" s="1000"/>
      <c r="D87" s="1000"/>
      <c r="E87" s="1000"/>
      <c r="F87" s="1000"/>
      <c r="G87" s="1001"/>
      <c r="H87" s="319"/>
      <c r="I87" s="124"/>
      <c r="J87" s="124"/>
      <c r="K87" s="124"/>
      <c r="L87" s="124"/>
      <c r="M87" s="124"/>
      <c r="N87" s="124"/>
      <c r="O87" s="124"/>
      <c r="P87" s="124"/>
      <c r="Q87" s="124"/>
      <c r="R87" s="124"/>
      <c r="S87" s="124"/>
      <c r="T87" s="124"/>
      <c r="U87" s="124"/>
      <c r="V87" s="124"/>
      <c r="W87" s="124"/>
      <c r="X87" s="124"/>
    </row>
    <row r="88" spans="1:24" ht="31.5">
      <c r="A88" s="272"/>
      <c r="B88" s="270" t="s">
        <v>444</v>
      </c>
      <c r="C88" s="318">
        <v>12</v>
      </c>
      <c r="D88" s="318">
        <v>0</v>
      </c>
      <c r="E88" s="191">
        <f t="shared" si="2"/>
        <v>-12</v>
      </c>
      <c r="F88" s="192">
        <f t="shared" si="3"/>
        <v>0</v>
      </c>
      <c r="G88" s="442" t="s">
        <v>400</v>
      </c>
      <c r="H88" s="355"/>
    </row>
    <row r="89" spans="1:24" s="341" customFormat="1" ht="63">
      <c r="A89" s="374"/>
      <c r="B89" s="373" t="s">
        <v>445</v>
      </c>
      <c r="C89" s="318"/>
      <c r="D89" s="375">
        <v>0</v>
      </c>
      <c r="E89" s="318">
        <f t="shared" si="2"/>
        <v>0</v>
      </c>
      <c r="F89" s="318">
        <v>0</v>
      </c>
      <c r="G89" s="442" t="s">
        <v>691</v>
      </c>
      <c r="H89" s="355"/>
      <c r="I89" s="289"/>
      <c r="J89" s="289"/>
      <c r="K89" s="289"/>
      <c r="L89" s="289"/>
      <c r="M89" s="289"/>
      <c r="N89" s="289"/>
      <c r="O89" s="289"/>
      <c r="P89" s="289"/>
      <c r="Q89" s="289"/>
      <c r="R89" s="289"/>
      <c r="S89" s="289"/>
      <c r="T89" s="289"/>
      <c r="U89" s="289"/>
      <c r="V89" s="289"/>
      <c r="W89" s="289"/>
      <c r="X89" s="289"/>
    </row>
    <row r="90" spans="1:24" s="290" customFormat="1">
      <c r="A90" s="372" t="s">
        <v>298</v>
      </c>
      <c r="B90" s="1049" t="s">
        <v>446</v>
      </c>
      <c r="C90" s="1050"/>
      <c r="D90" s="1050"/>
      <c r="E90" s="1050"/>
      <c r="F90" s="1050"/>
      <c r="G90" s="1051"/>
      <c r="H90" s="340"/>
      <c r="I90" s="289"/>
      <c r="J90" s="289"/>
      <c r="K90" s="289"/>
      <c r="L90" s="289"/>
      <c r="M90" s="289"/>
      <c r="N90" s="289"/>
      <c r="O90" s="289"/>
      <c r="P90" s="289"/>
      <c r="Q90" s="289"/>
      <c r="R90" s="289"/>
      <c r="S90" s="289"/>
      <c r="T90" s="289"/>
      <c r="U90" s="289"/>
      <c r="V90" s="289"/>
      <c r="W90" s="289"/>
      <c r="X90" s="289"/>
    </row>
    <row r="91" spans="1:24" s="341" customFormat="1">
      <c r="A91" s="376"/>
      <c r="B91" s="353" t="s">
        <v>249</v>
      </c>
      <c r="C91" s="108">
        <f>'звіт І кв'!E35</f>
        <v>1111.3</v>
      </c>
      <c r="D91" s="108">
        <f>'звіт І кв'!I35</f>
        <v>888.58771000000002</v>
      </c>
      <c r="E91" s="108">
        <f t="shared" si="2"/>
        <v>-222.71228999999994</v>
      </c>
      <c r="F91" s="360">
        <f t="shared" si="3"/>
        <v>79.959300818860797</v>
      </c>
      <c r="G91" s="442" t="s">
        <v>400</v>
      </c>
      <c r="H91" s="340"/>
      <c r="I91" s="289"/>
      <c r="J91" s="289"/>
      <c r="K91" s="289"/>
      <c r="L91" s="289"/>
      <c r="M91" s="289"/>
      <c r="N91" s="289"/>
      <c r="O91" s="289"/>
      <c r="P91" s="289"/>
      <c r="Q91" s="289"/>
      <c r="R91" s="289"/>
      <c r="S91" s="289"/>
      <c r="T91" s="289"/>
      <c r="U91" s="289"/>
      <c r="V91" s="289"/>
      <c r="W91" s="289"/>
      <c r="X91" s="289"/>
    </row>
    <row r="92" spans="1:24" s="341" customFormat="1" ht="126">
      <c r="A92" s="377"/>
      <c r="B92" s="356" t="s">
        <v>314</v>
      </c>
      <c r="C92" s="318">
        <v>4820</v>
      </c>
      <c r="D92" s="318">
        <v>184</v>
      </c>
      <c r="E92" s="318">
        <f t="shared" si="2"/>
        <v>-4636</v>
      </c>
      <c r="F92" s="360">
        <f t="shared" si="3"/>
        <v>3.8174273858921164</v>
      </c>
      <c r="G92" s="443" t="s">
        <v>656</v>
      </c>
      <c r="H92" s="355"/>
      <c r="I92" s="289"/>
      <c r="J92" s="289"/>
      <c r="K92" s="289"/>
      <c r="L92" s="289"/>
      <c r="M92" s="289"/>
      <c r="N92" s="289"/>
      <c r="O92" s="289"/>
      <c r="P92" s="289"/>
      <c r="Q92" s="289"/>
      <c r="R92" s="289"/>
      <c r="S92" s="289"/>
      <c r="T92" s="289"/>
      <c r="U92" s="289"/>
      <c r="V92" s="289"/>
      <c r="W92" s="289"/>
      <c r="X92" s="289"/>
    </row>
    <row r="93" spans="1:24" s="341" customFormat="1" ht="47.25">
      <c r="A93" s="377"/>
      <c r="B93" s="353" t="s">
        <v>315</v>
      </c>
      <c r="C93" s="318">
        <v>0.23</v>
      </c>
      <c r="D93" s="330">
        <f>D91/D92</f>
        <v>4.8292810326086961</v>
      </c>
      <c r="E93" s="330">
        <f t="shared" si="2"/>
        <v>4.5992810326086957</v>
      </c>
      <c r="F93" s="360">
        <f t="shared" si="3"/>
        <v>2099.6874054820419</v>
      </c>
      <c r="G93" s="443" t="s">
        <v>692</v>
      </c>
      <c r="H93" s="340"/>
      <c r="I93" s="289"/>
      <c r="J93" s="289"/>
      <c r="K93" s="289"/>
      <c r="L93" s="289"/>
      <c r="M93" s="289"/>
      <c r="N93" s="289"/>
      <c r="O93" s="289"/>
      <c r="P93" s="289"/>
      <c r="Q93" s="289"/>
      <c r="R93" s="289"/>
      <c r="S93" s="289"/>
      <c r="T93" s="289"/>
      <c r="U93" s="289"/>
      <c r="V93" s="289"/>
      <c r="W93" s="289"/>
      <c r="X93" s="289"/>
    </row>
    <row r="94" spans="1:24" s="341" customFormat="1" ht="47.25">
      <c r="A94" s="378"/>
      <c r="B94" s="353" t="s">
        <v>316</v>
      </c>
      <c r="C94" s="331">
        <v>10</v>
      </c>
      <c r="D94" s="331">
        <f>D92/8864*100</f>
        <v>2.0758122743682312</v>
      </c>
      <c r="E94" s="331">
        <f t="shared" si="2"/>
        <v>-7.9241877256317688</v>
      </c>
      <c r="F94" s="360">
        <f t="shared" si="3"/>
        <v>20.758122743682311</v>
      </c>
      <c r="G94" s="442" t="s">
        <v>693</v>
      </c>
      <c r="H94" s="355"/>
      <c r="I94" s="289"/>
      <c r="J94" s="289"/>
      <c r="K94" s="289"/>
      <c r="L94" s="289"/>
      <c r="M94" s="289"/>
      <c r="N94" s="289"/>
      <c r="O94" s="289"/>
      <c r="P94" s="289"/>
      <c r="Q94" s="289"/>
      <c r="R94" s="289"/>
      <c r="S94" s="289"/>
      <c r="T94" s="289"/>
      <c r="U94" s="289"/>
      <c r="V94" s="289"/>
      <c r="W94" s="289"/>
      <c r="X94" s="289"/>
    </row>
    <row r="95" spans="1:24" s="290" customFormat="1" ht="23.25" customHeight="1">
      <c r="A95" s="374" t="s">
        <v>299</v>
      </c>
      <c r="B95" s="1049" t="s">
        <v>447</v>
      </c>
      <c r="C95" s="1050"/>
      <c r="D95" s="1050"/>
      <c r="E95" s="1050"/>
      <c r="F95" s="1050"/>
      <c r="G95" s="1051"/>
      <c r="H95" s="340"/>
      <c r="I95" s="289"/>
      <c r="J95" s="289"/>
      <c r="K95" s="289"/>
      <c r="L95" s="289"/>
      <c r="M95" s="289"/>
      <c r="N95" s="289"/>
      <c r="O95" s="289"/>
      <c r="P95" s="289"/>
      <c r="Q95" s="289"/>
      <c r="R95" s="289"/>
      <c r="S95" s="289"/>
      <c r="T95" s="289"/>
      <c r="U95" s="289"/>
      <c r="V95" s="289"/>
      <c r="W95" s="289"/>
      <c r="X95" s="289"/>
    </row>
    <row r="96" spans="1:24" s="341" customFormat="1" ht="47.25">
      <c r="A96" s="379"/>
      <c r="B96" s="349" t="s">
        <v>317</v>
      </c>
      <c r="C96" s="318">
        <v>15</v>
      </c>
      <c r="D96" s="318">
        <v>0</v>
      </c>
      <c r="E96" s="318">
        <f t="shared" si="2"/>
        <v>-15</v>
      </c>
      <c r="F96" s="360">
        <f t="shared" si="3"/>
        <v>0</v>
      </c>
      <c r="G96" s="442" t="s">
        <v>400</v>
      </c>
      <c r="H96" s="355"/>
      <c r="I96" s="289"/>
      <c r="J96" s="289"/>
      <c r="K96" s="289"/>
      <c r="L96" s="289"/>
      <c r="M96" s="289"/>
      <c r="N96" s="289"/>
      <c r="O96" s="289"/>
      <c r="P96" s="289"/>
      <c r="Q96" s="289"/>
      <c r="R96" s="289"/>
      <c r="S96" s="289"/>
      <c r="T96" s="289"/>
      <c r="U96" s="289"/>
      <c r="V96" s="289"/>
      <c r="W96" s="289"/>
      <c r="X96" s="289"/>
    </row>
    <row r="97" spans="1:24" s="341" customFormat="1" ht="52.5" customHeight="1">
      <c r="A97" s="379"/>
      <c r="B97" s="349" t="s">
        <v>318</v>
      </c>
      <c r="C97" s="318" t="s">
        <v>653</v>
      </c>
      <c r="D97" s="318" t="s">
        <v>653</v>
      </c>
      <c r="E97" s="318" t="s">
        <v>653</v>
      </c>
      <c r="F97" s="318" t="s">
        <v>653</v>
      </c>
      <c r="G97" s="442" t="s">
        <v>694</v>
      </c>
      <c r="H97" s="355"/>
      <c r="I97" s="289"/>
      <c r="J97" s="289"/>
      <c r="K97" s="289"/>
      <c r="L97" s="289"/>
      <c r="M97" s="289"/>
      <c r="N97" s="289"/>
      <c r="O97" s="289"/>
      <c r="P97" s="289"/>
      <c r="Q97" s="289"/>
      <c r="R97" s="289"/>
      <c r="S97" s="289"/>
      <c r="T97" s="289"/>
      <c r="U97" s="289"/>
      <c r="V97" s="289"/>
      <c r="W97" s="289"/>
      <c r="X97" s="289"/>
    </row>
    <row r="98" spans="1:24" ht="20.25" customHeight="1">
      <c r="A98" s="205" t="s">
        <v>306</v>
      </c>
      <c r="B98" s="1032" t="s">
        <v>448</v>
      </c>
      <c r="C98" s="1032"/>
      <c r="D98" s="1032"/>
      <c r="E98" s="1032"/>
      <c r="F98" s="1032"/>
      <c r="G98" s="1032"/>
    </row>
    <row r="99" spans="1:24">
      <c r="A99" s="212"/>
      <c r="B99" s="446" t="s">
        <v>673</v>
      </c>
      <c r="C99" s="330">
        <f>C101+C106</f>
        <v>539</v>
      </c>
      <c r="D99" s="108">
        <f>'звіт І кв'!I40</f>
        <v>0</v>
      </c>
      <c r="E99" s="108">
        <f>D99-C99</f>
        <v>-539</v>
      </c>
      <c r="F99" s="360">
        <f>D99/C99*100</f>
        <v>0</v>
      </c>
      <c r="G99" s="518" t="s">
        <v>400</v>
      </c>
    </row>
    <row r="100" spans="1:24">
      <c r="A100" s="209"/>
      <c r="B100" s="1051" t="s">
        <v>100</v>
      </c>
      <c r="C100" s="1052"/>
      <c r="D100" s="1052"/>
      <c r="E100" s="1052"/>
      <c r="F100" s="1052"/>
      <c r="G100" s="1052"/>
    </row>
    <row r="101" spans="1:24" s="341" customFormat="1" ht="47.25">
      <c r="A101" s="381"/>
      <c r="B101" s="363" t="s">
        <v>449</v>
      </c>
      <c r="C101" s="330">
        <v>488</v>
      </c>
      <c r="D101" s="330">
        <f>'звіт І кв'!I41</f>
        <v>0</v>
      </c>
      <c r="E101" s="330">
        <f>D101-C101</f>
        <v>-488</v>
      </c>
      <c r="F101" s="360">
        <v>0</v>
      </c>
      <c r="G101" s="442" t="s">
        <v>695</v>
      </c>
      <c r="H101" s="340"/>
      <c r="I101" s="289"/>
      <c r="J101" s="289"/>
      <c r="K101" s="289"/>
      <c r="L101" s="289"/>
      <c r="M101" s="289"/>
      <c r="N101" s="289"/>
      <c r="O101" s="289"/>
      <c r="P101" s="289"/>
      <c r="Q101" s="289"/>
      <c r="R101" s="289"/>
      <c r="S101" s="289"/>
      <c r="T101" s="289"/>
      <c r="U101" s="289"/>
      <c r="V101" s="289"/>
      <c r="W101" s="289"/>
      <c r="X101" s="289"/>
    </row>
    <row r="102" spans="1:24" s="341" customFormat="1" ht="63">
      <c r="A102" s="381"/>
      <c r="B102" s="363" t="s">
        <v>450</v>
      </c>
      <c r="C102" s="318">
        <v>400</v>
      </c>
      <c r="D102" s="318">
        <v>0</v>
      </c>
      <c r="E102" s="330">
        <f>D102-C102</f>
        <v>-400</v>
      </c>
      <c r="F102" s="360">
        <f>D102/C102*100</f>
        <v>0</v>
      </c>
      <c r="G102" s="442" t="s">
        <v>696</v>
      </c>
      <c r="H102" s="340"/>
      <c r="I102" s="289"/>
      <c r="J102" s="289"/>
      <c r="K102" s="289"/>
      <c r="L102" s="289"/>
      <c r="M102" s="289"/>
      <c r="N102" s="289"/>
      <c r="O102" s="289"/>
      <c r="P102" s="289"/>
      <c r="Q102" s="289"/>
      <c r="R102" s="289"/>
      <c r="S102" s="289"/>
      <c r="T102" s="289"/>
      <c r="U102" s="289"/>
      <c r="V102" s="289"/>
      <c r="W102" s="289"/>
      <c r="X102" s="289"/>
    </row>
    <row r="103" spans="1:24" s="341" customFormat="1" ht="47.25">
      <c r="A103" s="381"/>
      <c r="B103" s="363" t="s">
        <v>451</v>
      </c>
      <c r="C103" s="318">
        <f>C101/C102</f>
        <v>1.22</v>
      </c>
      <c r="D103" s="330" t="s">
        <v>653</v>
      </c>
      <c r="E103" s="330" t="s">
        <v>653</v>
      </c>
      <c r="F103" s="360" t="s">
        <v>653</v>
      </c>
      <c r="G103" s="442" t="s">
        <v>696</v>
      </c>
      <c r="H103" s="340"/>
      <c r="I103" s="289"/>
      <c r="J103" s="289"/>
      <c r="K103" s="289"/>
      <c r="L103" s="289"/>
      <c r="M103" s="289"/>
      <c r="N103" s="289"/>
      <c r="O103" s="289"/>
      <c r="P103" s="289"/>
      <c r="Q103" s="289"/>
      <c r="R103" s="289"/>
      <c r="S103" s="289"/>
      <c r="T103" s="289"/>
      <c r="U103" s="289"/>
      <c r="V103" s="289"/>
      <c r="W103" s="289"/>
      <c r="X103" s="289"/>
    </row>
    <row r="104" spans="1:24" s="341" customFormat="1" ht="47.25">
      <c r="A104" s="381"/>
      <c r="B104" s="363" t="s">
        <v>452</v>
      </c>
      <c r="C104" s="391">
        <v>86.1</v>
      </c>
      <c r="D104" s="336">
        <v>100</v>
      </c>
      <c r="E104" s="516">
        <f>D104-C104</f>
        <v>13.900000000000006</v>
      </c>
      <c r="F104" s="360">
        <f>D104/C104*100</f>
        <v>116.14401858304298</v>
      </c>
      <c r="G104" s="443" t="s">
        <v>582</v>
      </c>
      <c r="H104" s="355"/>
      <c r="I104" s="289"/>
      <c r="J104" s="289"/>
      <c r="K104" s="289"/>
      <c r="L104" s="289"/>
      <c r="M104" s="289"/>
      <c r="N104" s="289"/>
      <c r="O104" s="289"/>
      <c r="P104" s="289"/>
      <c r="Q104" s="289"/>
      <c r="R104" s="289"/>
      <c r="S104" s="289"/>
      <c r="T104" s="289"/>
      <c r="U104" s="289"/>
      <c r="V104" s="289"/>
      <c r="W104" s="289"/>
      <c r="X104" s="289"/>
    </row>
    <row r="105" spans="1:24" s="350" customFormat="1">
      <c r="A105" s="382"/>
      <c r="B105" s="1053" t="s">
        <v>101</v>
      </c>
      <c r="C105" s="1053"/>
      <c r="D105" s="1053"/>
      <c r="E105" s="1053"/>
      <c r="F105" s="1053"/>
      <c r="G105" s="1054"/>
      <c r="H105" s="340"/>
      <c r="I105" s="289"/>
      <c r="J105" s="289"/>
      <c r="K105" s="289"/>
      <c r="L105" s="289"/>
      <c r="M105" s="289"/>
      <c r="N105" s="289"/>
      <c r="O105" s="289"/>
      <c r="P105" s="289"/>
      <c r="Q105" s="289"/>
      <c r="R105" s="289"/>
      <c r="S105" s="289"/>
      <c r="T105" s="289"/>
      <c r="U105" s="289"/>
      <c r="V105" s="289"/>
      <c r="W105" s="289"/>
      <c r="X105" s="289"/>
    </row>
    <row r="106" spans="1:24" s="341" customFormat="1" ht="47.25">
      <c r="A106" s="381"/>
      <c r="B106" s="363" t="s">
        <v>453</v>
      </c>
      <c r="C106" s="346">
        <f>'звіт І кв'!E42</f>
        <v>51</v>
      </c>
      <c r="D106" s="346">
        <f>'звіт І кв'!L42</f>
        <v>0</v>
      </c>
      <c r="E106" s="332">
        <f>D106-C106</f>
        <v>-51</v>
      </c>
      <c r="F106" s="332">
        <f>D106/C106*100</f>
        <v>0</v>
      </c>
      <c r="G106" s="442" t="s">
        <v>711</v>
      </c>
      <c r="H106" s="340"/>
      <c r="I106" s="289"/>
      <c r="J106" s="289"/>
      <c r="K106" s="289"/>
      <c r="L106" s="289"/>
      <c r="M106" s="289"/>
      <c r="N106" s="289"/>
      <c r="O106" s="289"/>
      <c r="P106" s="289"/>
      <c r="Q106" s="289"/>
      <c r="R106" s="289"/>
      <c r="S106" s="289"/>
      <c r="T106" s="289"/>
      <c r="U106" s="289"/>
      <c r="V106" s="289"/>
      <c r="W106" s="289"/>
      <c r="X106" s="289"/>
    </row>
    <row r="107" spans="1:24" s="341" customFormat="1" ht="63">
      <c r="A107" s="381"/>
      <c r="B107" s="363" t="s">
        <v>454</v>
      </c>
      <c r="C107" s="336">
        <v>40</v>
      </c>
      <c r="D107" s="336">
        <v>0</v>
      </c>
      <c r="E107" s="332">
        <f>D107-C107</f>
        <v>-40</v>
      </c>
      <c r="F107" s="332">
        <f>D107/C107*100</f>
        <v>0</v>
      </c>
      <c r="G107" s="442" t="s">
        <v>696</v>
      </c>
      <c r="H107" s="340"/>
      <c r="I107" s="289"/>
      <c r="J107" s="289"/>
      <c r="K107" s="289"/>
      <c r="L107" s="289"/>
      <c r="M107" s="289"/>
      <c r="N107" s="289"/>
      <c r="O107" s="289"/>
      <c r="P107" s="289"/>
      <c r="Q107" s="289"/>
      <c r="R107" s="289"/>
      <c r="S107" s="289"/>
      <c r="T107" s="289"/>
      <c r="U107" s="289"/>
      <c r="V107" s="289"/>
      <c r="W107" s="289"/>
      <c r="X107" s="289"/>
    </row>
    <row r="108" spans="1:24" ht="47.25">
      <c r="A108" s="209"/>
      <c r="B108" s="267" t="s">
        <v>451</v>
      </c>
      <c r="C108" s="391">
        <f>C106/C107</f>
        <v>1.2749999999999999</v>
      </c>
      <c r="D108" s="391">
        <v>0</v>
      </c>
      <c r="E108" s="143">
        <v>0</v>
      </c>
      <c r="F108" s="143">
        <f>D108/C108*100</f>
        <v>0</v>
      </c>
      <c r="G108" s="442" t="s">
        <v>696</v>
      </c>
    </row>
    <row r="109" spans="1:24" s="341" customFormat="1" ht="63">
      <c r="A109" s="383"/>
      <c r="B109" s="363" t="s">
        <v>581</v>
      </c>
      <c r="C109" s="391">
        <v>53.9</v>
      </c>
      <c r="D109" s="336">
        <v>100</v>
      </c>
      <c r="E109" s="517">
        <f>D109-C109</f>
        <v>46.1</v>
      </c>
      <c r="F109" s="332">
        <f>D109/C109*100</f>
        <v>185.5287569573284</v>
      </c>
      <c r="G109" s="443" t="s">
        <v>657</v>
      </c>
      <c r="H109" s="355"/>
      <c r="I109" s="289"/>
      <c r="J109" s="289"/>
      <c r="K109" s="289"/>
      <c r="L109" s="289"/>
      <c r="M109" s="289"/>
      <c r="N109" s="289"/>
      <c r="O109" s="289"/>
      <c r="P109" s="289"/>
      <c r="Q109" s="289"/>
      <c r="R109" s="289"/>
      <c r="S109" s="289"/>
      <c r="T109" s="289"/>
      <c r="U109" s="289"/>
      <c r="V109" s="289"/>
      <c r="W109" s="289"/>
      <c r="X109" s="289"/>
    </row>
    <row r="110" spans="1:24">
      <c r="A110" s="276" t="s">
        <v>103</v>
      </c>
      <c r="B110" s="1055" t="s">
        <v>102</v>
      </c>
      <c r="C110" s="1047"/>
      <c r="D110" s="1047"/>
      <c r="E110" s="1047"/>
      <c r="F110" s="1047"/>
      <c r="G110" s="1048"/>
    </row>
    <row r="111" spans="1:24" ht="33.75" customHeight="1">
      <c r="A111" s="212" t="s">
        <v>105</v>
      </c>
      <c r="B111" s="999" t="s">
        <v>455</v>
      </c>
      <c r="C111" s="1000"/>
      <c r="D111" s="1000"/>
      <c r="E111" s="1000"/>
      <c r="F111" s="1000"/>
      <c r="G111" s="1001"/>
    </row>
    <row r="112" spans="1:24" ht="47.25">
      <c r="A112" s="212"/>
      <c r="B112" s="260" t="s">
        <v>456</v>
      </c>
      <c r="C112" s="368"/>
      <c r="D112" s="368"/>
      <c r="E112" s="275"/>
      <c r="F112" s="275"/>
      <c r="G112" s="261"/>
    </row>
    <row r="113" spans="1:24" s="341" customFormat="1" ht="141.75">
      <c r="A113" s="382"/>
      <c r="B113" s="373" t="s">
        <v>457</v>
      </c>
      <c r="C113" s="108">
        <f>'звіт І кв'!F45</f>
        <v>830.95</v>
      </c>
      <c r="D113" s="333">
        <f>'звіт І кв'!J45</f>
        <v>3986.8470200000002</v>
      </c>
      <c r="E113" s="524">
        <f t="shared" ref="E113:E121" si="4">D113-C113</f>
        <v>3155.8970200000003</v>
      </c>
      <c r="F113" s="360">
        <f t="shared" ref="F113:F121" si="5">D113/C113*100</f>
        <v>479.79385281906247</v>
      </c>
      <c r="G113" s="193" t="s">
        <v>697</v>
      </c>
      <c r="H113" s="340"/>
      <c r="I113" s="289"/>
      <c r="J113" s="289"/>
      <c r="K113" s="289"/>
      <c r="L113" s="289"/>
      <c r="M113" s="289"/>
      <c r="N113" s="289"/>
      <c r="O113" s="289"/>
      <c r="P113" s="289"/>
      <c r="Q113" s="289"/>
      <c r="R113" s="289"/>
      <c r="S113" s="289"/>
      <c r="T113" s="289"/>
      <c r="U113" s="289"/>
      <c r="V113" s="289"/>
      <c r="W113" s="289"/>
      <c r="X113" s="289"/>
    </row>
    <row r="114" spans="1:24" s="341" customFormat="1" ht="47.25">
      <c r="A114" s="382"/>
      <c r="B114" s="373" t="s">
        <v>458</v>
      </c>
      <c r="C114" s="318">
        <v>4800</v>
      </c>
      <c r="D114" s="375">
        <v>952</v>
      </c>
      <c r="E114" s="318">
        <f t="shared" si="4"/>
        <v>-3848</v>
      </c>
      <c r="F114" s="360">
        <f t="shared" si="5"/>
        <v>19.833333333333332</v>
      </c>
      <c r="G114" s="442" t="s">
        <v>400</v>
      </c>
      <c r="H114" s="355"/>
      <c r="I114" s="289"/>
      <c r="J114" s="289"/>
      <c r="K114" s="289"/>
      <c r="L114" s="289"/>
      <c r="M114" s="289"/>
      <c r="N114" s="289"/>
      <c r="O114" s="289"/>
      <c r="P114" s="289"/>
      <c r="Q114" s="289"/>
      <c r="R114" s="289"/>
      <c r="S114" s="289"/>
      <c r="T114" s="289"/>
      <c r="U114" s="289"/>
      <c r="V114" s="289"/>
      <c r="W114" s="289"/>
      <c r="X114" s="289"/>
    </row>
    <row r="115" spans="1:24" s="341" customFormat="1" ht="126">
      <c r="A115" s="382"/>
      <c r="B115" s="373" t="s">
        <v>459</v>
      </c>
      <c r="C115" s="330">
        <f>'звіт І кв'!G45</f>
        <v>878.79480000000001</v>
      </c>
      <c r="D115" s="330">
        <f>'звіт І кв'!K45</f>
        <v>0</v>
      </c>
      <c r="E115" s="330">
        <f t="shared" si="4"/>
        <v>-878.79480000000001</v>
      </c>
      <c r="F115" s="360">
        <f t="shared" si="5"/>
        <v>0</v>
      </c>
      <c r="G115" s="193" t="s">
        <v>698</v>
      </c>
      <c r="H115" s="340"/>
      <c r="I115" s="289"/>
      <c r="J115" s="289"/>
      <c r="K115" s="289"/>
      <c r="L115" s="289"/>
      <c r="M115" s="289"/>
      <c r="N115" s="289"/>
      <c r="O115" s="289"/>
      <c r="P115" s="289"/>
      <c r="Q115" s="289"/>
      <c r="R115" s="289"/>
      <c r="S115" s="289"/>
      <c r="T115" s="289"/>
      <c r="U115" s="289"/>
      <c r="V115" s="289"/>
      <c r="W115" s="289"/>
      <c r="X115" s="289"/>
    </row>
    <row r="116" spans="1:24" s="341" customFormat="1" ht="47.25">
      <c r="A116" s="382"/>
      <c r="B116" s="373" t="s">
        <v>460</v>
      </c>
      <c r="C116" s="360">
        <v>3360</v>
      </c>
      <c r="D116" s="360">
        <v>476</v>
      </c>
      <c r="E116" s="360">
        <f t="shared" si="4"/>
        <v>-2884</v>
      </c>
      <c r="F116" s="360">
        <f t="shared" si="5"/>
        <v>14.166666666666666</v>
      </c>
      <c r="G116" s="442" t="s">
        <v>400</v>
      </c>
      <c r="H116" s="355"/>
      <c r="I116" s="289"/>
      <c r="J116" s="289"/>
      <c r="K116" s="289"/>
      <c r="L116" s="289"/>
      <c r="M116" s="289"/>
      <c r="N116" s="289"/>
      <c r="O116" s="289"/>
      <c r="P116" s="289"/>
      <c r="Q116" s="289"/>
      <c r="R116" s="289"/>
      <c r="S116" s="289"/>
      <c r="T116" s="289"/>
      <c r="U116" s="289"/>
      <c r="V116" s="289"/>
      <c r="W116" s="289"/>
      <c r="X116" s="289"/>
    </row>
    <row r="117" spans="1:24" s="341" customFormat="1" ht="94.5">
      <c r="A117" s="382"/>
      <c r="B117" s="373" t="s">
        <v>461</v>
      </c>
      <c r="C117" s="360">
        <v>2800</v>
      </c>
      <c r="D117" s="360">
        <v>431</v>
      </c>
      <c r="E117" s="360">
        <f t="shared" si="4"/>
        <v>-2369</v>
      </c>
      <c r="F117" s="360">
        <f t="shared" si="5"/>
        <v>15.392857142857144</v>
      </c>
      <c r="G117" s="443" t="s">
        <v>658</v>
      </c>
      <c r="H117" s="355"/>
      <c r="I117" s="289"/>
      <c r="J117" s="289"/>
      <c r="K117" s="289"/>
      <c r="L117" s="289"/>
      <c r="M117" s="289"/>
      <c r="N117" s="289"/>
      <c r="O117" s="289"/>
      <c r="P117" s="289"/>
      <c r="Q117" s="289"/>
      <c r="R117" s="289"/>
      <c r="S117" s="289"/>
      <c r="T117" s="289"/>
      <c r="U117" s="289"/>
      <c r="V117" s="289"/>
      <c r="W117" s="289"/>
      <c r="X117" s="289"/>
    </row>
    <row r="118" spans="1:24" ht="110.25">
      <c r="A118" s="208"/>
      <c r="B118" s="270" t="s">
        <v>462</v>
      </c>
      <c r="C118" s="330">
        <f>(C113+C115)/C117</f>
        <v>0.61062314285714281</v>
      </c>
      <c r="D118" s="330">
        <f>(D113+D115)/D117</f>
        <v>9.2502251044083525</v>
      </c>
      <c r="E118" s="519">
        <f t="shared" si="4"/>
        <v>8.6396019615512092</v>
      </c>
      <c r="F118" s="192">
        <f t="shared" si="5"/>
        <v>1514.8828230004494</v>
      </c>
      <c r="G118" s="122" t="s">
        <v>602</v>
      </c>
    </row>
    <row r="119" spans="1:24" ht="94.5">
      <c r="A119" s="208"/>
      <c r="B119" s="428" t="s">
        <v>463</v>
      </c>
      <c r="C119" s="331">
        <v>83</v>
      </c>
      <c r="D119" s="331">
        <f>D117/D83*100</f>
        <v>41.086749285033363</v>
      </c>
      <c r="E119" s="147">
        <f t="shared" si="4"/>
        <v>-41.913250714966637</v>
      </c>
      <c r="F119" s="192">
        <f t="shared" si="5"/>
        <v>49.502107572329351</v>
      </c>
      <c r="G119" s="122" t="s">
        <v>710</v>
      </c>
    </row>
    <row r="120" spans="1:24" ht="31.5">
      <c r="A120" s="208"/>
      <c r="B120" s="270" t="s">
        <v>464</v>
      </c>
      <c r="C120" s="360">
        <v>17900</v>
      </c>
      <c r="D120" s="360">
        <v>13105</v>
      </c>
      <c r="E120" s="192">
        <f t="shared" si="4"/>
        <v>-4795</v>
      </c>
      <c r="F120" s="192">
        <f t="shared" si="5"/>
        <v>73.212290502793294</v>
      </c>
      <c r="G120" s="122" t="s">
        <v>400</v>
      </c>
    </row>
    <row r="121" spans="1:24" ht="63">
      <c r="A121" s="208"/>
      <c r="B121" s="270" t="s">
        <v>465</v>
      </c>
      <c r="C121" s="331">
        <v>73.7</v>
      </c>
      <c r="D121" s="331">
        <f>D120*100/23100</f>
        <v>56.731601731601735</v>
      </c>
      <c r="E121" s="147">
        <f t="shared" si="4"/>
        <v>-16.968398268398268</v>
      </c>
      <c r="F121" s="147">
        <f t="shared" si="5"/>
        <v>76.976393122933146</v>
      </c>
      <c r="G121" s="122" t="s">
        <v>400</v>
      </c>
    </row>
    <row r="122" spans="1:24" ht="51.75" customHeight="1">
      <c r="A122" s="208"/>
      <c r="B122" s="264" t="s">
        <v>466</v>
      </c>
      <c r="C122" s="357"/>
      <c r="D122" s="357"/>
      <c r="E122" s="203"/>
      <c r="F122" s="192"/>
      <c r="G122" s="122"/>
      <c r="I122" s="277"/>
      <c r="J122" s="277"/>
      <c r="K122" s="277"/>
      <c r="L122" s="277"/>
      <c r="M122" s="277"/>
      <c r="N122" s="277"/>
      <c r="O122" s="277"/>
      <c r="P122" s="277"/>
      <c r="Q122" s="277"/>
      <c r="R122" s="277"/>
      <c r="S122" s="277"/>
      <c r="T122" s="277"/>
      <c r="U122" s="277"/>
      <c r="V122" s="277"/>
      <c r="W122" s="277"/>
      <c r="X122" s="277"/>
    </row>
    <row r="123" spans="1:24" ht="63">
      <c r="A123" s="208"/>
      <c r="B123" s="269" t="s">
        <v>467</v>
      </c>
      <c r="C123" s="330"/>
      <c r="D123" s="360">
        <v>235</v>
      </c>
      <c r="E123" s="192">
        <f>D123-C123</f>
        <v>235</v>
      </c>
      <c r="F123" s="192">
        <v>100</v>
      </c>
      <c r="G123" s="442" t="s">
        <v>605</v>
      </c>
    </row>
    <row r="124" spans="1:24" ht="63">
      <c r="A124" s="208"/>
      <c r="B124" s="520" t="s">
        <v>684</v>
      </c>
      <c r="C124" s="331">
        <v>60</v>
      </c>
      <c r="D124" s="331">
        <f>80*100/235</f>
        <v>34.042553191489361</v>
      </c>
      <c r="E124" s="147">
        <f>D124-C124</f>
        <v>-25.957446808510639</v>
      </c>
      <c r="F124" s="147">
        <f>D124/C124*100</f>
        <v>56.737588652482273</v>
      </c>
      <c r="G124" s="442" t="s">
        <v>659</v>
      </c>
    </row>
    <row r="125" spans="1:24" ht="31.5">
      <c r="A125" s="208"/>
      <c r="B125" s="263" t="s">
        <v>569</v>
      </c>
      <c r="C125" s="357"/>
      <c r="D125" s="357"/>
      <c r="E125" s="192"/>
      <c r="F125" s="192"/>
      <c r="G125" s="122"/>
    </row>
    <row r="126" spans="1:24" ht="141.75">
      <c r="A126" s="208"/>
      <c r="B126" s="270" t="s">
        <v>468</v>
      </c>
      <c r="C126" s="360">
        <v>1344</v>
      </c>
      <c r="D126" s="360">
        <v>8</v>
      </c>
      <c r="E126" s="192">
        <f>D126-C126</f>
        <v>-1336</v>
      </c>
      <c r="F126" s="147">
        <f>D126/C126*100</f>
        <v>0.59523809523809523</v>
      </c>
      <c r="G126" s="442" t="s">
        <v>699</v>
      </c>
    </row>
    <row r="127" spans="1:24" ht="78.75">
      <c r="A127" s="208"/>
      <c r="B127" s="269" t="s">
        <v>469</v>
      </c>
      <c r="C127" s="330">
        <v>40</v>
      </c>
      <c r="D127" s="330">
        <f>532*100/5957</f>
        <v>8.9306698002350178</v>
      </c>
      <c r="E127" s="203">
        <f>D127-C127</f>
        <v>-31.069330199764984</v>
      </c>
      <c r="F127" s="147">
        <f>D127/C127*100</f>
        <v>22.326674500587547</v>
      </c>
      <c r="G127" s="442" t="s">
        <v>400</v>
      </c>
    </row>
    <row r="128" spans="1:24" ht="94.5">
      <c r="A128" s="208"/>
      <c r="B128" s="263" t="s">
        <v>470</v>
      </c>
      <c r="C128" s="348"/>
      <c r="D128" s="318"/>
      <c r="E128" s="192"/>
      <c r="F128" s="192"/>
      <c r="G128" s="122"/>
    </row>
    <row r="129" spans="1:24" s="341" customFormat="1">
      <c r="A129" s="382"/>
      <c r="B129" s="373" t="s">
        <v>471</v>
      </c>
      <c r="C129" s="108">
        <f>'звіт І кв'!E48</f>
        <v>12900</v>
      </c>
      <c r="D129" s="108">
        <f>'звіт І кв'!L48</f>
        <v>816.4</v>
      </c>
      <c r="E129" s="108">
        <f>D129-C129</f>
        <v>-12083.6</v>
      </c>
      <c r="F129" s="360">
        <f>D129/C129*100</f>
        <v>6.3286821705426348</v>
      </c>
      <c r="G129" s="326" t="s">
        <v>659</v>
      </c>
      <c r="H129" s="340"/>
      <c r="I129" s="289"/>
      <c r="J129" s="289"/>
      <c r="K129" s="289"/>
      <c r="L129" s="289"/>
      <c r="M129" s="289"/>
      <c r="N129" s="289"/>
      <c r="O129" s="289"/>
      <c r="P129" s="289"/>
      <c r="Q129" s="289"/>
      <c r="R129" s="289"/>
      <c r="S129" s="289"/>
      <c r="T129" s="289"/>
      <c r="U129" s="289"/>
      <c r="V129" s="289"/>
      <c r="W129" s="289"/>
      <c r="X129" s="289"/>
    </row>
    <row r="130" spans="1:24" ht="94.5">
      <c r="A130" s="208"/>
      <c r="B130" s="270" t="s">
        <v>472</v>
      </c>
      <c r="C130" s="318">
        <v>700</v>
      </c>
      <c r="D130" s="318">
        <v>206</v>
      </c>
      <c r="E130" s="284">
        <f>D130-C130</f>
        <v>-494</v>
      </c>
      <c r="F130" s="192">
        <f>D130/C130*100</f>
        <v>29.428571428571427</v>
      </c>
      <c r="G130" s="442" t="s">
        <v>700</v>
      </c>
    </row>
    <row r="131" spans="1:24" ht="31.5">
      <c r="A131" s="208"/>
      <c r="B131" s="270" t="s">
        <v>473</v>
      </c>
      <c r="C131" s="330">
        <f>C129/C130</f>
        <v>18.428571428571427</v>
      </c>
      <c r="D131" s="330">
        <f>D129/D130</f>
        <v>3.963106796116505</v>
      </c>
      <c r="E131" s="284">
        <f>D131-C131</f>
        <v>-14.465464632454921</v>
      </c>
      <c r="F131" s="192">
        <f>D131/C131*100</f>
        <v>21.50523067660119</v>
      </c>
      <c r="G131" s="122" t="s">
        <v>400</v>
      </c>
    </row>
    <row r="132" spans="1:24" ht="110.25">
      <c r="A132" s="208"/>
      <c r="B132" s="270" t="s">
        <v>474</v>
      </c>
      <c r="C132" s="330">
        <v>80</v>
      </c>
      <c r="D132" s="330">
        <f>142*100/184</f>
        <v>77.173913043478265</v>
      </c>
      <c r="E132" s="284">
        <f>D132-C132</f>
        <v>-2.8260869565217348</v>
      </c>
      <c r="F132" s="192">
        <f>D132/C132*100</f>
        <v>96.467391304347828</v>
      </c>
      <c r="G132" s="442" t="s">
        <v>701</v>
      </c>
    </row>
    <row r="133" spans="1:24" s="149" customFormat="1" ht="35.25" customHeight="1">
      <c r="A133" s="208"/>
      <c r="B133" s="260" t="s">
        <v>475</v>
      </c>
      <c r="C133" s="368"/>
      <c r="D133" s="368"/>
      <c r="E133" s="275"/>
      <c r="F133" s="275"/>
      <c r="G133" s="261"/>
      <c r="H133" s="319"/>
      <c r="I133" s="124"/>
      <c r="J133" s="124"/>
      <c r="K133" s="124"/>
      <c r="L133" s="124"/>
      <c r="M133" s="124"/>
      <c r="N133" s="124"/>
      <c r="O133" s="124"/>
      <c r="P133" s="124"/>
      <c r="Q133" s="124"/>
      <c r="R133" s="124"/>
      <c r="S133" s="124"/>
      <c r="T133" s="124"/>
      <c r="U133" s="124"/>
      <c r="V133" s="124"/>
      <c r="W133" s="124"/>
      <c r="X133" s="124"/>
    </row>
    <row r="134" spans="1:24" ht="47.25">
      <c r="A134" s="209"/>
      <c r="B134" s="267" t="s">
        <v>476</v>
      </c>
      <c r="C134" s="332">
        <v>1507</v>
      </c>
      <c r="D134" s="332">
        <v>120</v>
      </c>
      <c r="E134" s="143">
        <f>D134-C134</f>
        <v>-1387</v>
      </c>
      <c r="F134" s="143">
        <f>D134/C134*100</f>
        <v>7.9628400796284016</v>
      </c>
      <c r="G134" s="442" t="s">
        <v>400</v>
      </c>
    </row>
    <row r="135" spans="1:24" ht="47.25">
      <c r="A135" s="210"/>
      <c r="B135" s="267" t="s">
        <v>477</v>
      </c>
      <c r="C135" s="336">
        <v>50</v>
      </c>
      <c r="D135" s="351">
        <f>D134/D117*100</f>
        <v>27.842227378190255</v>
      </c>
      <c r="E135" s="143">
        <f>D135-C135</f>
        <v>-22.157772621809745</v>
      </c>
      <c r="F135" s="143">
        <f>D135/C135*100</f>
        <v>55.684454756380511</v>
      </c>
      <c r="G135" s="442" t="s">
        <v>400</v>
      </c>
    </row>
    <row r="136" spans="1:24" ht="21.75" customHeight="1">
      <c r="A136" s="208" t="s">
        <v>329</v>
      </c>
      <c r="B136" s="999" t="s">
        <v>478</v>
      </c>
      <c r="C136" s="1000"/>
      <c r="D136" s="1000"/>
      <c r="E136" s="1000"/>
      <c r="F136" s="1000"/>
      <c r="G136" s="1001"/>
    </row>
    <row r="137" spans="1:24" s="341" customFormat="1">
      <c r="A137" s="384"/>
      <c r="B137" s="373" t="s">
        <v>479</v>
      </c>
      <c r="C137" s="108">
        <f>'звіт І кв'!E50</f>
        <v>1046.93</v>
      </c>
      <c r="D137" s="385">
        <f>'звіт І кв'!I50</f>
        <v>217.70162999999999</v>
      </c>
      <c r="E137" s="332">
        <f>D137-C137</f>
        <v>-829.22837000000004</v>
      </c>
      <c r="F137" s="332">
        <f>D137/C137*100</f>
        <v>20.794287106110243</v>
      </c>
      <c r="G137" s="443" t="s">
        <v>400</v>
      </c>
      <c r="H137" s="340"/>
      <c r="I137" s="289"/>
      <c r="J137" s="289"/>
      <c r="K137" s="289"/>
      <c r="L137" s="289"/>
      <c r="M137" s="289"/>
      <c r="N137" s="289"/>
      <c r="O137" s="289"/>
      <c r="P137" s="289"/>
      <c r="Q137" s="289"/>
      <c r="R137" s="289"/>
      <c r="S137" s="289"/>
      <c r="T137" s="289"/>
      <c r="U137" s="289"/>
      <c r="V137" s="289"/>
      <c r="W137" s="289"/>
      <c r="X137" s="289"/>
    </row>
    <row r="138" spans="1:24" s="341" customFormat="1" ht="47.25">
      <c r="A138" s="381"/>
      <c r="B138" s="386" t="s">
        <v>480</v>
      </c>
      <c r="C138" s="318">
        <v>1120</v>
      </c>
      <c r="D138" s="387">
        <v>431</v>
      </c>
      <c r="E138" s="332">
        <f>D138-C138</f>
        <v>-689</v>
      </c>
      <c r="F138" s="332">
        <f>D138/C138*100</f>
        <v>38.482142857142861</v>
      </c>
      <c r="G138" s="443" t="s">
        <v>603</v>
      </c>
      <c r="H138" s="340"/>
      <c r="I138" s="289"/>
      <c r="J138" s="289"/>
      <c r="K138" s="289"/>
      <c r="L138" s="289"/>
      <c r="M138" s="289"/>
      <c r="N138" s="289"/>
      <c r="O138" s="289"/>
      <c r="P138" s="289"/>
      <c r="Q138" s="289"/>
      <c r="R138" s="289"/>
      <c r="S138" s="289"/>
      <c r="T138" s="289"/>
      <c r="U138" s="289"/>
      <c r="V138" s="289"/>
      <c r="W138" s="289"/>
      <c r="X138" s="289"/>
    </row>
    <row r="139" spans="1:24" s="341" customFormat="1" ht="47.25">
      <c r="A139" s="381"/>
      <c r="B139" s="386" t="s">
        <v>481</v>
      </c>
      <c r="C139" s="330">
        <f>C137/C138</f>
        <v>0.93475892857142862</v>
      </c>
      <c r="D139" s="358">
        <f>D137/D138</f>
        <v>0.50510819025522036</v>
      </c>
      <c r="E139" s="346">
        <f>D139-C139</f>
        <v>-0.42965073831620826</v>
      </c>
      <c r="F139" s="332">
        <f>D139/C139*100</f>
        <v>54.036198512397846</v>
      </c>
      <c r="G139" s="443" t="s">
        <v>400</v>
      </c>
      <c r="H139" s="340"/>
      <c r="I139" s="289"/>
      <c r="J139" s="289"/>
      <c r="K139" s="289"/>
      <c r="L139" s="289"/>
      <c r="M139" s="289"/>
      <c r="N139" s="289"/>
      <c r="O139" s="289"/>
      <c r="P139" s="289"/>
      <c r="Q139" s="289"/>
      <c r="R139" s="289"/>
      <c r="S139" s="289"/>
      <c r="T139" s="289"/>
      <c r="U139" s="289"/>
      <c r="V139" s="289"/>
      <c r="W139" s="289"/>
      <c r="X139" s="289"/>
    </row>
    <row r="140" spans="1:24" s="341" customFormat="1" ht="78.75">
      <c r="A140" s="383"/>
      <c r="B140" s="386" t="s">
        <v>482</v>
      </c>
      <c r="C140" s="318">
        <v>40</v>
      </c>
      <c r="D140" s="388">
        <f>D138/D117*100</f>
        <v>100</v>
      </c>
      <c r="E140" s="525">
        <f>D140-C140</f>
        <v>60</v>
      </c>
      <c r="F140" s="332">
        <f>D140/C140*100</f>
        <v>250</v>
      </c>
      <c r="G140" s="443" t="s">
        <v>702</v>
      </c>
      <c r="H140" s="340"/>
      <c r="I140" s="289"/>
      <c r="J140" s="289"/>
      <c r="K140" s="289"/>
      <c r="L140" s="289"/>
      <c r="M140" s="289"/>
      <c r="N140" s="289"/>
      <c r="O140" s="289"/>
      <c r="P140" s="289"/>
      <c r="Q140" s="289"/>
      <c r="R140" s="289"/>
      <c r="S140" s="289"/>
      <c r="T140" s="289"/>
      <c r="U140" s="289"/>
      <c r="V140" s="289"/>
      <c r="W140" s="289"/>
      <c r="X140" s="289"/>
    </row>
    <row r="141" spans="1:24" s="341" customFormat="1" ht="35.25" customHeight="1">
      <c r="A141" s="382" t="s">
        <v>333</v>
      </c>
      <c r="B141" s="1049" t="s">
        <v>114</v>
      </c>
      <c r="C141" s="1050"/>
      <c r="D141" s="1050"/>
      <c r="E141" s="1050"/>
      <c r="F141" s="1050"/>
      <c r="G141" s="1051"/>
      <c r="H141" s="340"/>
      <c r="I141" s="289"/>
      <c r="J141" s="289"/>
      <c r="K141" s="289"/>
      <c r="L141" s="289"/>
      <c r="M141" s="289"/>
      <c r="N141" s="289"/>
      <c r="O141" s="289"/>
      <c r="P141" s="289"/>
      <c r="Q141" s="289"/>
      <c r="R141" s="289"/>
      <c r="S141" s="289"/>
      <c r="T141" s="289"/>
      <c r="U141" s="289"/>
      <c r="V141" s="289"/>
      <c r="W141" s="289"/>
      <c r="X141" s="289"/>
    </row>
    <row r="142" spans="1:24" s="341" customFormat="1">
      <c r="A142" s="384"/>
      <c r="B142" s="356" t="s">
        <v>249</v>
      </c>
      <c r="C142" s="108">
        <f>'звіт І кв'!E51</f>
        <v>1980.00251</v>
      </c>
      <c r="D142" s="346">
        <f>'звіт І кв'!I51</f>
        <v>191.21016</v>
      </c>
      <c r="E142" s="332">
        <f>D142-C142</f>
        <v>-1788.7923499999999</v>
      </c>
      <c r="F142" s="332">
        <f>D142/C142*100</f>
        <v>9.6570665458398839</v>
      </c>
      <c r="G142" s="443" t="s">
        <v>400</v>
      </c>
      <c r="H142" s="340"/>
      <c r="I142" s="289"/>
      <c r="J142" s="289"/>
      <c r="K142" s="289"/>
      <c r="L142" s="289"/>
      <c r="M142" s="289"/>
      <c r="N142" s="289"/>
      <c r="O142" s="289"/>
      <c r="P142" s="289"/>
      <c r="Q142" s="289"/>
      <c r="R142" s="289"/>
      <c r="S142" s="289"/>
      <c r="T142" s="289"/>
      <c r="U142" s="289"/>
      <c r="V142" s="289"/>
      <c r="W142" s="289"/>
      <c r="X142" s="289"/>
    </row>
    <row r="143" spans="1:24" ht="31.5">
      <c r="A143" s="209"/>
      <c r="B143" s="266" t="s">
        <v>483</v>
      </c>
      <c r="C143" s="318">
        <v>2800</v>
      </c>
      <c r="D143" s="336">
        <v>431</v>
      </c>
      <c r="E143" s="143">
        <f>D143-C143</f>
        <v>-2369</v>
      </c>
      <c r="F143" s="143">
        <f>D143/C143*100</f>
        <v>15.392857142857144</v>
      </c>
      <c r="G143" s="443" t="s">
        <v>400</v>
      </c>
    </row>
    <row r="144" spans="1:24" ht="47.25">
      <c r="A144" s="209"/>
      <c r="B144" s="266" t="s">
        <v>484</v>
      </c>
      <c r="C144" s="330">
        <f>C142/C143</f>
        <v>0.70714375357142856</v>
      </c>
      <c r="D144" s="330">
        <f>D142/D143</f>
        <v>0.44364306264501163</v>
      </c>
      <c r="E144" s="223">
        <f>D144-C144</f>
        <v>-0.26350069092641693</v>
      </c>
      <c r="F144" s="143">
        <f>D144/C144*100</f>
        <v>62.737323267637301</v>
      </c>
      <c r="G144" s="443" t="s">
        <v>400</v>
      </c>
    </row>
    <row r="145" spans="1:24" ht="78.75">
      <c r="A145" s="210"/>
      <c r="B145" s="266" t="s">
        <v>485</v>
      </c>
      <c r="C145" s="318">
        <v>100</v>
      </c>
      <c r="D145" s="336">
        <v>100</v>
      </c>
      <c r="E145" s="143">
        <f>D145-C145</f>
        <v>0</v>
      </c>
      <c r="F145" s="143">
        <f>D145/C145*100</f>
        <v>100</v>
      </c>
      <c r="G145" s="442" t="s">
        <v>703</v>
      </c>
    </row>
    <row r="146" spans="1:24" ht="21" customHeight="1">
      <c r="A146" s="208" t="s">
        <v>339</v>
      </c>
      <c r="B146" s="999" t="s">
        <v>486</v>
      </c>
      <c r="C146" s="1000"/>
      <c r="D146" s="1000"/>
      <c r="E146" s="1000"/>
      <c r="F146" s="1000"/>
      <c r="G146" s="1001"/>
    </row>
    <row r="147" spans="1:24" s="341" customFormat="1">
      <c r="A147" s="384"/>
      <c r="B147" s="356" t="s">
        <v>487</v>
      </c>
      <c r="C147" s="108">
        <f>'звіт І кв'!E57</f>
        <v>4449.174</v>
      </c>
      <c r="D147" s="346">
        <f>'звіт І кв'!I57</f>
        <v>17.729010000000002</v>
      </c>
      <c r="E147" s="332">
        <f>D147-C147</f>
        <v>-4431.44499</v>
      </c>
      <c r="F147" s="332">
        <f>D147/C147*100</f>
        <v>0.39847868390851882</v>
      </c>
      <c r="G147" s="443" t="s">
        <v>660</v>
      </c>
      <c r="H147" s="389"/>
      <c r="I147" s="390"/>
      <c r="J147" s="390"/>
      <c r="K147" s="390"/>
      <c r="L147" s="390"/>
      <c r="M147" s="390"/>
      <c r="N147" s="390"/>
      <c r="O147" s="390"/>
      <c r="P147" s="390"/>
      <c r="Q147" s="390"/>
      <c r="R147" s="390"/>
      <c r="S147" s="390"/>
      <c r="T147" s="390"/>
      <c r="U147" s="390"/>
      <c r="V147" s="390"/>
      <c r="W147" s="390"/>
      <c r="X147" s="390"/>
    </row>
    <row r="148" spans="1:24" s="149" customFormat="1">
      <c r="A148" s="208"/>
      <c r="B148" s="264" t="s">
        <v>124</v>
      </c>
      <c r="C148" s="447"/>
      <c r="D148" s="447"/>
      <c r="E148" s="143"/>
      <c r="F148" s="143"/>
      <c r="G148" s="448"/>
      <c r="H148" s="321"/>
      <c r="I148" s="282"/>
      <c r="J148" s="282"/>
      <c r="K148" s="282"/>
      <c r="L148" s="282"/>
      <c r="M148" s="282"/>
      <c r="N148" s="282"/>
      <c r="O148" s="282"/>
      <c r="P148" s="282"/>
      <c r="Q148" s="282"/>
      <c r="R148" s="282"/>
      <c r="S148" s="282"/>
      <c r="T148" s="282"/>
      <c r="U148" s="282"/>
      <c r="V148" s="282"/>
      <c r="W148" s="282"/>
      <c r="X148" s="282"/>
    </row>
    <row r="149" spans="1:24" ht="31.5">
      <c r="A149" s="209"/>
      <c r="B149" s="280" t="s">
        <v>488</v>
      </c>
      <c r="C149" s="318">
        <v>2000</v>
      </c>
      <c r="D149" s="336">
        <v>630</v>
      </c>
      <c r="E149" s="143">
        <f t="shared" ref="E149:E159" si="6">D149-C149</f>
        <v>-1370</v>
      </c>
      <c r="F149" s="143">
        <f t="shared" ref="F149:F159" si="7">D149/C149*100</f>
        <v>31.5</v>
      </c>
      <c r="G149" s="443" t="s">
        <v>660</v>
      </c>
      <c r="H149" s="320"/>
      <c r="I149" s="278"/>
      <c r="J149" s="278"/>
      <c r="K149" s="278"/>
      <c r="L149" s="278"/>
      <c r="M149" s="278"/>
      <c r="N149" s="278"/>
      <c r="O149" s="278"/>
      <c r="P149" s="278"/>
      <c r="Q149" s="278"/>
      <c r="R149" s="278"/>
      <c r="S149" s="278"/>
      <c r="T149" s="278"/>
      <c r="U149" s="278"/>
      <c r="V149" s="278"/>
      <c r="W149" s="278"/>
      <c r="X149" s="278"/>
    </row>
    <row r="150" spans="1:24" s="149" customFormat="1">
      <c r="A150" s="208"/>
      <c r="B150" s="264" t="s">
        <v>125</v>
      </c>
      <c r="C150" s="447"/>
      <c r="D150" s="447"/>
      <c r="E150" s="143"/>
      <c r="F150" s="143"/>
      <c r="G150" s="448"/>
      <c r="H150" s="321"/>
      <c r="I150" s="282"/>
      <c r="J150" s="282"/>
      <c r="K150" s="282"/>
      <c r="L150" s="282"/>
      <c r="M150" s="282"/>
      <c r="N150" s="282"/>
      <c r="O150" s="282"/>
      <c r="P150" s="282"/>
      <c r="Q150" s="282"/>
      <c r="R150" s="282"/>
      <c r="S150" s="282"/>
      <c r="T150" s="282"/>
      <c r="U150" s="282"/>
      <c r="V150" s="282"/>
      <c r="W150" s="282"/>
      <c r="X150" s="282"/>
    </row>
    <row r="151" spans="1:24" ht="47.25">
      <c r="A151" s="209"/>
      <c r="B151" s="280" t="s">
        <v>489</v>
      </c>
      <c r="C151" s="318">
        <v>1000</v>
      </c>
      <c r="D151" s="336">
        <v>648</v>
      </c>
      <c r="E151" s="143">
        <f t="shared" si="6"/>
        <v>-352</v>
      </c>
      <c r="F151" s="143">
        <f t="shared" si="7"/>
        <v>64.8</v>
      </c>
      <c r="G151" s="443" t="s">
        <v>660</v>
      </c>
      <c r="H151" s="320"/>
      <c r="I151" s="278"/>
      <c r="J151" s="278"/>
      <c r="K151" s="278"/>
      <c r="L151" s="278"/>
      <c r="M151" s="278"/>
      <c r="N151" s="278"/>
      <c r="O151" s="278"/>
      <c r="P151" s="278"/>
      <c r="Q151" s="278"/>
      <c r="R151" s="278"/>
      <c r="S151" s="278"/>
      <c r="T151" s="278"/>
      <c r="U151" s="278"/>
      <c r="V151" s="278"/>
      <c r="W151" s="278"/>
      <c r="X151" s="278"/>
    </row>
    <row r="152" spans="1:24" s="149" customFormat="1">
      <c r="A152" s="208"/>
      <c r="B152" s="264" t="s">
        <v>126</v>
      </c>
      <c r="C152" s="447"/>
      <c r="D152" s="447"/>
      <c r="E152" s="143"/>
      <c r="F152" s="143"/>
      <c r="G152" s="448"/>
      <c r="H152" s="321"/>
      <c r="I152" s="282"/>
      <c r="J152" s="282"/>
      <c r="K152" s="282"/>
      <c r="L152" s="282"/>
      <c r="M152" s="282"/>
      <c r="N152" s="282"/>
      <c r="O152" s="282"/>
      <c r="P152" s="282"/>
      <c r="Q152" s="282"/>
      <c r="R152" s="282"/>
      <c r="S152" s="282"/>
      <c r="T152" s="282"/>
      <c r="U152" s="282"/>
      <c r="V152" s="282"/>
      <c r="W152" s="282"/>
      <c r="X152" s="282"/>
    </row>
    <row r="153" spans="1:24" ht="31.5">
      <c r="A153" s="209"/>
      <c r="B153" s="280" t="s">
        <v>490</v>
      </c>
      <c r="C153" s="318">
        <v>75</v>
      </c>
      <c r="D153" s="336">
        <v>118</v>
      </c>
      <c r="E153" s="522">
        <f t="shared" si="6"/>
        <v>43</v>
      </c>
      <c r="F153" s="143">
        <f t="shared" si="7"/>
        <v>157.33333333333331</v>
      </c>
      <c r="G153" s="443" t="s">
        <v>660</v>
      </c>
      <c r="H153" s="320"/>
      <c r="I153" s="278"/>
      <c r="J153" s="278"/>
      <c r="K153" s="278"/>
      <c r="L153" s="278"/>
      <c r="M153" s="278"/>
      <c r="N153" s="278"/>
      <c r="O153" s="278"/>
      <c r="P153" s="278"/>
      <c r="Q153" s="278"/>
      <c r="R153" s="278"/>
      <c r="S153" s="278"/>
      <c r="T153" s="278"/>
      <c r="U153" s="278"/>
      <c r="V153" s="278"/>
      <c r="W153" s="278"/>
      <c r="X153" s="278"/>
    </row>
    <row r="154" spans="1:24" s="149" customFormat="1">
      <c r="A154" s="208"/>
      <c r="B154" s="264" t="s">
        <v>127</v>
      </c>
      <c r="C154" s="447"/>
      <c r="D154" s="447"/>
      <c r="E154" s="143"/>
      <c r="F154" s="143"/>
      <c r="G154" s="448"/>
      <c r="H154" s="321"/>
      <c r="I154" s="282"/>
      <c r="J154" s="282"/>
      <c r="K154" s="282"/>
      <c r="L154" s="282"/>
      <c r="M154" s="282"/>
      <c r="N154" s="282"/>
      <c r="O154" s="282"/>
      <c r="P154" s="282"/>
      <c r="Q154" s="282"/>
      <c r="R154" s="282"/>
      <c r="S154" s="282"/>
      <c r="T154" s="282"/>
      <c r="U154" s="282"/>
      <c r="V154" s="282"/>
      <c r="W154" s="282"/>
      <c r="X154" s="282"/>
    </row>
    <row r="155" spans="1:24" ht="47.25">
      <c r="A155" s="209"/>
      <c r="B155" s="280" t="s">
        <v>491</v>
      </c>
      <c r="C155" s="318">
        <v>75</v>
      </c>
      <c r="D155" s="336">
        <v>52</v>
      </c>
      <c r="E155" s="143">
        <f t="shared" si="6"/>
        <v>-23</v>
      </c>
      <c r="F155" s="143">
        <f t="shared" si="7"/>
        <v>69.333333333333343</v>
      </c>
      <c r="G155" s="443" t="s">
        <v>660</v>
      </c>
      <c r="H155" s="320"/>
      <c r="I155" s="278"/>
      <c r="J155" s="278"/>
      <c r="K155" s="278"/>
      <c r="L155" s="278"/>
      <c r="M155" s="278"/>
      <c r="N155" s="278"/>
      <c r="O155" s="278"/>
      <c r="P155" s="278"/>
      <c r="Q155" s="278"/>
      <c r="R155" s="278"/>
      <c r="S155" s="278"/>
      <c r="T155" s="278"/>
      <c r="U155" s="278"/>
      <c r="V155" s="278"/>
      <c r="W155" s="278"/>
      <c r="X155" s="278"/>
    </row>
    <row r="156" spans="1:24" s="198" customFormat="1">
      <c r="A156" s="235"/>
      <c r="B156" s="264" t="s">
        <v>128</v>
      </c>
      <c r="C156" s="449"/>
      <c r="D156" s="418"/>
      <c r="E156" s="143"/>
      <c r="F156" s="143"/>
      <c r="G156" s="450"/>
      <c r="H156" s="322"/>
      <c r="I156" s="281"/>
      <c r="J156" s="281"/>
      <c r="K156" s="281"/>
      <c r="L156" s="281"/>
      <c r="M156" s="281"/>
      <c r="N156" s="281"/>
      <c r="O156" s="281"/>
      <c r="P156" s="281"/>
      <c r="Q156" s="281"/>
      <c r="R156" s="281"/>
      <c r="S156" s="281"/>
      <c r="T156" s="281"/>
      <c r="U156" s="281"/>
      <c r="V156" s="281"/>
      <c r="W156" s="281"/>
      <c r="X156" s="281"/>
    </row>
    <row r="157" spans="1:24" ht="78.75">
      <c r="A157" s="209"/>
      <c r="B157" s="266" t="s">
        <v>492</v>
      </c>
      <c r="C157" s="318">
        <v>432</v>
      </c>
      <c r="D157" s="336">
        <v>1115</v>
      </c>
      <c r="E157" s="522">
        <f t="shared" si="6"/>
        <v>683</v>
      </c>
      <c r="F157" s="143">
        <f t="shared" si="7"/>
        <v>258.10185185185185</v>
      </c>
      <c r="G157" s="442" t="s">
        <v>704</v>
      </c>
    </row>
    <row r="158" spans="1:24" ht="47.25">
      <c r="A158" s="209"/>
      <c r="B158" s="266" t="s">
        <v>493</v>
      </c>
      <c r="C158" s="330">
        <v>0.2</v>
      </c>
      <c r="D158" s="391">
        <f>D147/(D149+D151+D153+D155+D157)</f>
        <v>6.9172883339836139E-3</v>
      </c>
      <c r="E158" s="223">
        <f t="shared" si="6"/>
        <v>-0.1930827116660164</v>
      </c>
      <c r="F158" s="143">
        <f t="shared" si="7"/>
        <v>3.4586441669918067</v>
      </c>
      <c r="G158" s="443" t="s">
        <v>660</v>
      </c>
    </row>
    <row r="159" spans="1:24" ht="63">
      <c r="A159" s="210"/>
      <c r="B159" s="266" t="s">
        <v>494</v>
      </c>
      <c r="C159" s="330">
        <v>55</v>
      </c>
      <c r="D159" s="391">
        <f>2104/3161*100</f>
        <v>66.56121480544131</v>
      </c>
      <c r="E159" s="521">
        <f t="shared" si="6"/>
        <v>11.56121480544131</v>
      </c>
      <c r="F159" s="219">
        <f t="shared" si="7"/>
        <v>121.02039055534783</v>
      </c>
      <c r="G159" s="443" t="s">
        <v>674</v>
      </c>
    </row>
    <row r="160" spans="1:24" ht="36.75" customHeight="1">
      <c r="A160" s="212" t="s">
        <v>343</v>
      </c>
      <c r="B160" s="999" t="s">
        <v>495</v>
      </c>
      <c r="C160" s="1000"/>
      <c r="D160" s="1000"/>
      <c r="E160" s="1000"/>
      <c r="F160" s="1000"/>
      <c r="G160" s="1001"/>
    </row>
    <row r="161" spans="1:24" s="341" customFormat="1">
      <c r="A161" s="384"/>
      <c r="B161" s="356" t="s">
        <v>249</v>
      </c>
      <c r="C161" s="330">
        <f>'звіт І кв'!E63</f>
        <v>237.5</v>
      </c>
      <c r="D161" s="391">
        <f>'звіт І кв'!I63</f>
        <v>0</v>
      </c>
      <c r="E161" s="346">
        <f>D161-C161</f>
        <v>-237.5</v>
      </c>
      <c r="F161" s="332">
        <f>D161/C161*100</f>
        <v>0</v>
      </c>
      <c r="G161" s="326" t="s">
        <v>400</v>
      </c>
      <c r="H161" s="340"/>
      <c r="I161" s="289"/>
      <c r="J161" s="289"/>
      <c r="K161" s="289"/>
      <c r="L161" s="289"/>
      <c r="M161" s="289"/>
      <c r="N161" s="289"/>
      <c r="O161" s="289"/>
      <c r="P161" s="289"/>
      <c r="Q161" s="289"/>
      <c r="R161" s="289"/>
      <c r="S161" s="289"/>
      <c r="T161" s="289"/>
      <c r="U161" s="289"/>
      <c r="V161" s="289"/>
      <c r="W161" s="289"/>
      <c r="X161" s="289"/>
    </row>
    <row r="162" spans="1:24" ht="78.75">
      <c r="A162" s="209"/>
      <c r="B162" s="266" t="s">
        <v>496</v>
      </c>
      <c r="C162" s="318">
        <v>40</v>
      </c>
      <c r="D162" s="336">
        <v>27</v>
      </c>
      <c r="E162" s="143">
        <f>D162-C162</f>
        <v>-13</v>
      </c>
      <c r="F162" s="143">
        <f>D162/C162*100</f>
        <v>67.5</v>
      </c>
      <c r="G162" s="122" t="s">
        <v>661</v>
      </c>
    </row>
    <row r="163" spans="1:24" ht="31.5">
      <c r="A163" s="209"/>
      <c r="B163" s="266" t="s">
        <v>497</v>
      </c>
      <c r="C163" s="330">
        <f>C161/C162</f>
        <v>5.9375</v>
      </c>
      <c r="D163" s="391">
        <f>D161/D162</f>
        <v>0</v>
      </c>
      <c r="E163" s="223">
        <f>D163-C163</f>
        <v>-5.9375</v>
      </c>
      <c r="F163" s="143">
        <f>D163/C163*100</f>
        <v>0</v>
      </c>
      <c r="G163" s="122" t="s">
        <v>400</v>
      </c>
    </row>
    <row r="164" spans="1:24" ht="84" customHeight="1">
      <c r="A164" s="210"/>
      <c r="B164" s="266" t="s">
        <v>498</v>
      </c>
      <c r="C164" s="318">
        <v>95</v>
      </c>
      <c r="D164" s="351">
        <f>D162/31*100</f>
        <v>87.096774193548384</v>
      </c>
      <c r="E164" s="143">
        <f>D164-C164</f>
        <v>-7.9032258064516157</v>
      </c>
      <c r="F164" s="143">
        <f>D164/C164*100</f>
        <v>91.68081494057725</v>
      </c>
      <c r="G164" s="122" t="s">
        <v>661</v>
      </c>
    </row>
    <row r="165" spans="1:24">
      <c r="A165" s="283" t="s">
        <v>132</v>
      </c>
      <c r="B165" s="1045" t="s">
        <v>131</v>
      </c>
      <c r="C165" s="1046"/>
      <c r="D165" s="1046"/>
      <c r="E165" s="1047"/>
      <c r="F165" s="1047"/>
      <c r="G165" s="1048"/>
    </row>
    <row r="166" spans="1:24" s="149" customFormat="1">
      <c r="A166" s="212" t="s">
        <v>135</v>
      </c>
      <c r="B166" s="999" t="s">
        <v>499</v>
      </c>
      <c r="C166" s="1000"/>
      <c r="D166" s="1000"/>
      <c r="E166" s="1000"/>
      <c r="F166" s="1000"/>
      <c r="G166" s="1001"/>
      <c r="H166" s="319"/>
      <c r="I166" s="124"/>
      <c r="J166" s="124"/>
      <c r="K166" s="124"/>
      <c r="L166" s="124"/>
      <c r="M166" s="124"/>
      <c r="N166" s="124"/>
      <c r="O166" s="124"/>
      <c r="P166" s="124"/>
      <c r="Q166" s="124"/>
      <c r="R166" s="124"/>
      <c r="S166" s="124"/>
      <c r="T166" s="124"/>
      <c r="U166" s="124"/>
      <c r="V166" s="124"/>
      <c r="W166" s="124"/>
      <c r="X166" s="124"/>
    </row>
    <row r="167" spans="1:24" s="350" customFormat="1">
      <c r="A167" s="392"/>
      <c r="B167" s="337" t="s">
        <v>196</v>
      </c>
      <c r="C167" s="108">
        <f>'звіт І кв'!E66</f>
        <v>188433.41999999998</v>
      </c>
      <c r="D167" s="108">
        <f>'звіт І кв'!I65</f>
        <v>15031.682649999999</v>
      </c>
      <c r="E167" s="108">
        <f>D167-C167</f>
        <v>-173401.73734999998</v>
      </c>
      <c r="F167" s="360">
        <f>D167/C167*100</f>
        <v>7.977185071522876</v>
      </c>
      <c r="G167" s="122" t="s">
        <v>400</v>
      </c>
      <c r="H167" s="340"/>
      <c r="I167" s="289"/>
      <c r="J167" s="289"/>
      <c r="K167" s="289"/>
      <c r="L167" s="289"/>
      <c r="M167" s="289"/>
      <c r="N167" s="289"/>
      <c r="O167" s="289"/>
      <c r="P167" s="289"/>
      <c r="Q167" s="289"/>
      <c r="R167" s="289"/>
      <c r="S167" s="289"/>
      <c r="T167" s="289"/>
      <c r="U167" s="289"/>
      <c r="V167" s="289"/>
      <c r="W167" s="289"/>
      <c r="X167" s="289"/>
    </row>
    <row r="168" spans="1:24" s="149" customFormat="1" ht="63">
      <c r="A168" s="208"/>
      <c r="B168" s="260" t="s">
        <v>500</v>
      </c>
      <c r="C168" s="368"/>
      <c r="D168" s="368"/>
      <c r="E168" s="284"/>
      <c r="F168" s="191"/>
      <c r="G168" s="261"/>
      <c r="H168" s="319"/>
      <c r="I168" s="124"/>
      <c r="J168" s="124"/>
      <c r="K168" s="124"/>
      <c r="L168" s="124"/>
      <c r="M168" s="124"/>
      <c r="N168" s="124"/>
      <c r="O168" s="124"/>
      <c r="P168" s="124"/>
      <c r="Q168" s="124"/>
      <c r="R168" s="124"/>
      <c r="S168" s="124"/>
      <c r="T168" s="124"/>
      <c r="U168" s="124"/>
      <c r="V168" s="124"/>
      <c r="W168" s="124"/>
      <c r="X168" s="124"/>
    </row>
    <row r="169" spans="1:24" ht="173.25">
      <c r="A169" s="209"/>
      <c r="B169" s="259" t="s">
        <v>501</v>
      </c>
      <c r="C169" s="332">
        <v>15704</v>
      </c>
      <c r="D169" s="332">
        <v>8903</v>
      </c>
      <c r="E169" s="327">
        <f>D169-C169</f>
        <v>-6801</v>
      </c>
      <c r="F169" s="192">
        <f t="shared" ref="F169:F177" si="8">D169/C169*100</f>
        <v>56.692562404482935</v>
      </c>
      <c r="G169" s="122" t="s">
        <v>662</v>
      </c>
    </row>
    <row r="170" spans="1:24" ht="31.5">
      <c r="A170" s="209"/>
      <c r="B170" s="259" t="s">
        <v>502</v>
      </c>
      <c r="C170" s="332">
        <v>3000</v>
      </c>
      <c r="D170" s="332">
        <v>590</v>
      </c>
      <c r="E170" s="284">
        <f>D170-C170</f>
        <v>-2410</v>
      </c>
      <c r="F170" s="192">
        <f t="shared" si="8"/>
        <v>19.666666666666664</v>
      </c>
      <c r="G170" s="122" t="s">
        <v>400</v>
      </c>
    </row>
    <row r="171" spans="1:24" ht="31.5">
      <c r="A171" s="209"/>
      <c r="B171" s="259" t="s">
        <v>222</v>
      </c>
      <c r="C171" s="346">
        <f>C167/C169</f>
        <v>11.999071574121242</v>
      </c>
      <c r="D171" s="346">
        <f>D167/D169</f>
        <v>1.6883839885431875</v>
      </c>
      <c r="E171" s="284">
        <f>D171-C171</f>
        <v>-10.310687585578055</v>
      </c>
      <c r="F171" s="192">
        <f t="shared" si="8"/>
        <v>14.070955224440665</v>
      </c>
      <c r="G171" s="122" t="s">
        <v>400</v>
      </c>
    </row>
    <row r="172" spans="1:24" ht="63">
      <c r="A172" s="209"/>
      <c r="B172" s="259" t="s">
        <v>503</v>
      </c>
      <c r="C172" s="346">
        <v>88</v>
      </c>
      <c r="D172" s="346">
        <f>8723/12945*100</f>
        <v>67.38509076863653</v>
      </c>
      <c r="E172" s="284">
        <f>D172-C172</f>
        <v>-20.61490923136347</v>
      </c>
      <c r="F172" s="192">
        <f t="shared" si="8"/>
        <v>76.573966782541518</v>
      </c>
      <c r="G172" s="122" t="s">
        <v>400</v>
      </c>
    </row>
    <row r="173" spans="1:24" ht="47.25">
      <c r="A173" s="138"/>
      <c r="B173" s="260" t="s">
        <v>504</v>
      </c>
      <c r="C173" s="368"/>
      <c r="D173" s="368"/>
      <c r="E173" s="284"/>
      <c r="F173" s="191"/>
      <c r="G173" s="261"/>
    </row>
    <row r="174" spans="1:24" ht="47.25">
      <c r="A174" s="138"/>
      <c r="B174" s="259" t="s">
        <v>505</v>
      </c>
      <c r="C174" s="332">
        <v>2000</v>
      </c>
      <c r="D174" s="332">
        <v>7</v>
      </c>
      <c r="E174" s="327">
        <f>D174-C174</f>
        <v>-1993</v>
      </c>
      <c r="F174" s="191">
        <f t="shared" si="8"/>
        <v>0.35000000000000003</v>
      </c>
      <c r="G174" s="122" t="s">
        <v>400</v>
      </c>
    </row>
    <row r="175" spans="1:24" ht="63">
      <c r="A175" s="138"/>
      <c r="B175" s="259" t="s">
        <v>506</v>
      </c>
      <c r="C175" s="412">
        <v>60</v>
      </c>
      <c r="D175" s="336">
        <f>7*100/8</f>
        <v>87.5</v>
      </c>
      <c r="E175" s="526">
        <f>D175-C175</f>
        <v>27.5</v>
      </c>
      <c r="F175" s="203">
        <f t="shared" si="8"/>
        <v>145.83333333333331</v>
      </c>
      <c r="G175" s="122" t="s">
        <v>400</v>
      </c>
    </row>
    <row r="176" spans="1:24" ht="31.5">
      <c r="A176" s="138"/>
      <c r="B176" s="260" t="s">
        <v>507</v>
      </c>
      <c r="C176" s="339"/>
      <c r="D176" s="332"/>
      <c r="E176" s="284"/>
      <c r="F176" s="191"/>
      <c r="G176" s="122"/>
    </row>
    <row r="177" spans="1:24" ht="31.5">
      <c r="A177" s="138"/>
      <c r="B177" s="259" t="s">
        <v>508</v>
      </c>
      <c r="C177" s="332">
        <v>9666</v>
      </c>
      <c r="D177" s="332">
        <v>3552</v>
      </c>
      <c r="E177" s="108">
        <f>D177-C177</f>
        <v>-6114</v>
      </c>
      <c r="F177" s="360">
        <f t="shared" si="8"/>
        <v>36.747361887026692</v>
      </c>
      <c r="G177" s="122" t="s">
        <v>400</v>
      </c>
    </row>
    <row r="178" spans="1:24" ht="63">
      <c r="A178" s="138"/>
      <c r="B178" s="285" t="s">
        <v>509</v>
      </c>
      <c r="C178" s="334">
        <v>54</v>
      </c>
      <c r="D178" s="334">
        <f>D177*100/8723</f>
        <v>40.719935801903013</v>
      </c>
      <c r="E178" s="108">
        <f>D178-C178</f>
        <v>-13.280064198096987</v>
      </c>
      <c r="F178" s="360">
        <f>D178/C178*100</f>
        <v>75.40728852204262</v>
      </c>
      <c r="G178" s="397" t="s">
        <v>705</v>
      </c>
    </row>
    <row r="179" spans="1:24" ht="31.5" customHeight="1">
      <c r="A179" s="225" t="s">
        <v>362</v>
      </c>
      <c r="B179" s="999" t="s">
        <v>587</v>
      </c>
      <c r="C179" s="1000"/>
      <c r="D179" s="1000"/>
      <c r="E179" s="1000"/>
      <c r="F179" s="1000"/>
      <c r="G179" s="1001"/>
    </row>
    <row r="180" spans="1:24" ht="19.5" hidden="1" customHeight="1">
      <c r="A180" s="137"/>
      <c r="B180" s="308" t="s">
        <v>588</v>
      </c>
      <c r="C180" s="292"/>
      <c r="D180" s="292"/>
      <c r="E180" s="308"/>
      <c r="F180" s="308"/>
      <c r="G180" s="308"/>
    </row>
    <row r="181" spans="1:24" hidden="1">
      <c r="A181" s="138"/>
      <c r="B181" s="285" t="s">
        <v>590</v>
      </c>
      <c r="C181" s="395">
        <v>0</v>
      </c>
      <c r="D181" s="328">
        <v>0</v>
      </c>
      <c r="E181" s="284">
        <v>0</v>
      </c>
      <c r="F181" s="191">
        <v>0</v>
      </c>
      <c r="G181" s="286"/>
    </row>
    <row r="182" spans="1:24" ht="31.5" hidden="1">
      <c r="A182" s="138"/>
      <c r="B182" s="285" t="s">
        <v>591</v>
      </c>
      <c r="C182" s="396">
        <v>0</v>
      </c>
      <c r="D182" s="328"/>
      <c r="E182" s="284"/>
      <c r="F182" s="191"/>
      <c r="G182" s="286"/>
    </row>
    <row r="183" spans="1:24" ht="31.5" hidden="1">
      <c r="A183" s="138"/>
      <c r="B183" s="285" t="s">
        <v>592</v>
      </c>
      <c r="C183" s="395">
        <v>0</v>
      </c>
      <c r="D183" s="328"/>
      <c r="E183" s="284"/>
      <c r="F183" s="191"/>
      <c r="G183" s="286"/>
    </row>
    <row r="184" spans="1:24" ht="31.5" hidden="1">
      <c r="A184" s="138"/>
      <c r="B184" s="285" t="s">
        <v>593</v>
      </c>
      <c r="C184" s="396">
        <v>0</v>
      </c>
      <c r="D184" s="328"/>
      <c r="E184" s="284"/>
      <c r="F184" s="191"/>
      <c r="G184" s="286"/>
    </row>
    <row r="185" spans="1:24" ht="42" customHeight="1">
      <c r="A185" s="138"/>
      <c r="B185" s="307" t="s">
        <v>589</v>
      </c>
      <c r="C185" s="396"/>
      <c r="D185" s="328"/>
      <c r="E185" s="284"/>
      <c r="F185" s="191"/>
      <c r="G185" s="286"/>
    </row>
    <row r="186" spans="1:24" ht="94.5">
      <c r="A186" s="138"/>
      <c r="B186" s="285" t="s">
        <v>594</v>
      </c>
      <c r="C186" s="334">
        <f>'звіт І кв'!E71</f>
        <v>300</v>
      </c>
      <c r="D186" s="334">
        <f>'звіт І кв'!L71</f>
        <v>0</v>
      </c>
      <c r="E186" s="284">
        <f>D186-C186</f>
        <v>-300</v>
      </c>
      <c r="F186" s="191">
        <f>D186/C186*100</f>
        <v>0</v>
      </c>
      <c r="G186" s="122" t="s">
        <v>706</v>
      </c>
    </row>
    <row r="187" spans="1:24" ht="31.5">
      <c r="A187" s="138"/>
      <c r="B187" s="285" t="s">
        <v>595</v>
      </c>
      <c r="C187" s="328">
        <v>10</v>
      </c>
      <c r="D187" s="328">
        <v>0</v>
      </c>
      <c r="E187" s="327">
        <f>D187-C187</f>
        <v>-10</v>
      </c>
      <c r="F187" s="191">
        <f>D187/C187*100</f>
        <v>0</v>
      </c>
      <c r="G187" s="122" t="s">
        <v>400</v>
      </c>
    </row>
    <row r="188" spans="1:24" ht="47.25">
      <c r="A188" s="138"/>
      <c r="B188" s="285" t="s">
        <v>596</v>
      </c>
      <c r="C188" s="334">
        <f>C186/C187</f>
        <v>30</v>
      </c>
      <c r="D188" s="334">
        <v>0</v>
      </c>
      <c r="E188" s="284">
        <f>D188-C188</f>
        <v>-30</v>
      </c>
      <c r="F188" s="191">
        <f>D188/C188*100</f>
        <v>0</v>
      </c>
      <c r="G188" s="122" t="s">
        <v>400</v>
      </c>
    </row>
    <row r="189" spans="1:24" ht="31.5">
      <c r="A189" s="138"/>
      <c r="B189" s="285" t="s">
        <v>597</v>
      </c>
      <c r="C189" s="328">
        <v>100</v>
      </c>
      <c r="D189" s="328">
        <v>0</v>
      </c>
      <c r="E189" s="327">
        <f>D189-C189</f>
        <v>-100</v>
      </c>
      <c r="F189" s="191">
        <f>D189/C189*100</f>
        <v>0</v>
      </c>
      <c r="G189" s="122" t="s">
        <v>400</v>
      </c>
    </row>
    <row r="190" spans="1:24" ht="33" customHeight="1">
      <c r="A190" s="225" t="s">
        <v>367</v>
      </c>
      <c r="B190" s="999" t="s">
        <v>510</v>
      </c>
      <c r="C190" s="1000"/>
      <c r="D190" s="1000"/>
      <c r="E190" s="1000"/>
      <c r="F190" s="1000"/>
      <c r="G190" s="1001"/>
    </row>
    <row r="191" spans="1:24" s="341" customFormat="1" ht="31.5">
      <c r="A191" s="393"/>
      <c r="B191" s="394" t="s">
        <v>516</v>
      </c>
      <c r="C191" s="334">
        <f>'звіт І кв'!E72</f>
        <v>420</v>
      </c>
      <c r="D191" s="334">
        <f>'звіт І кв'!K72</f>
        <v>0</v>
      </c>
      <c r="E191" s="423">
        <f>D191-C191</f>
        <v>-420</v>
      </c>
      <c r="F191" s="328">
        <f>D191/C191*100</f>
        <v>0</v>
      </c>
      <c r="G191" s="451" t="s">
        <v>613</v>
      </c>
      <c r="H191" s="340"/>
      <c r="I191" s="289"/>
      <c r="J191" s="289"/>
      <c r="K191" s="289"/>
      <c r="L191" s="289"/>
      <c r="M191" s="289"/>
      <c r="N191" s="289"/>
      <c r="O191" s="289"/>
      <c r="P191" s="289"/>
      <c r="Q191" s="289"/>
      <c r="R191" s="289"/>
      <c r="S191" s="289"/>
      <c r="T191" s="289"/>
      <c r="U191" s="289"/>
      <c r="V191" s="289"/>
      <c r="W191" s="289"/>
      <c r="X191" s="289"/>
    </row>
    <row r="192" spans="1:24" ht="47.25">
      <c r="A192" s="138"/>
      <c r="B192" s="285" t="s">
        <v>511</v>
      </c>
      <c r="C192" s="328">
        <v>15</v>
      </c>
      <c r="D192" s="328">
        <v>12</v>
      </c>
      <c r="E192" s="329">
        <f>D192-C192</f>
        <v>-3</v>
      </c>
      <c r="F192" s="329">
        <f>D192/C192*100</f>
        <v>80</v>
      </c>
      <c r="G192" s="442" t="s">
        <v>400</v>
      </c>
    </row>
    <row r="193" spans="1:24" ht="47.25">
      <c r="A193" s="138"/>
      <c r="B193" s="285" t="s">
        <v>512</v>
      </c>
      <c r="C193" s="334">
        <f>C191/C192</f>
        <v>28</v>
      </c>
      <c r="D193" s="334">
        <f>D191/D192</f>
        <v>0</v>
      </c>
      <c r="E193" s="335">
        <f>D193-C193</f>
        <v>-28</v>
      </c>
      <c r="F193" s="329">
        <f>D193/C193*100</f>
        <v>0</v>
      </c>
      <c r="G193" s="452" t="s">
        <v>606</v>
      </c>
    </row>
    <row r="194" spans="1:24" ht="47.25">
      <c r="A194" s="138"/>
      <c r="B194" s="285" t="s">
        <v>513</v>
      </c>
      <c r="C194" s="419">
        <v>27</v>
      </c>
      <c r="D194" s="419">
        <f>334/8723*100</f>
        <v>3.8289579273185832</v>
      </c>
      <c r="E194" s="528">
        <f>D194-C194</f>
        <v>-23.171042072681416</v>
      </c>
      <c r="F194" s="329">
        <f>D194/C194*100</f>
        <v>14.181325656735494</v>
      </c>
      <c r="G194" s="442" t="s">
        <v>400</v>
      </c>
    </row>
    <row r="195" spans="1:24" ht="33.75" customHeight="1">
      <c r="A195" s="225" t="s">
        <v>514</v>
      </c>
      <c r="B195" s="999" t="s">
        <v>515</v>
      </c>
      <c r="C195" s="1000"/>
      <c r="D195" s="1000"/>
      <c r="E195" s="1000"/>
      <c r="F195" s="1000"/>
      <c r="G195" s="1001"/>
    </row>
    <row r="196" spans="1:24" s="341" customFormat="1">
      <c r="A196" s="393"/>
      <c r="B196" s="394" t="s">
        <v>517</v>
      </c>
      <c r="C196" s="334">
        <f>'звіт І кв'!E73</f>
        <v>6841</v>
      </c>
      <c r="D196" s="334">
        <f>'звіт І кв'!I73</f>
        <v>1427.7439999999999</v>
      </c>
      <c r="E196" s="328">
        <f>D196-C196</f>
        <v>-5413.2560000000003</v>
      </c>
      <c r="F196" s="328">
        <f>D196/C196*100</f>
        <v>20.870399064464259</v>
      </c>
      <c r="G196" s="451" t="s">
        <v>400</v>
      </c>
      <c r="H196" s="340"/>
      <c r="I196" s="289"/>
      <c r="J196" s="289"/>
      <c r="K196" s="289"/>
      <c r="L196" s="289"/>
      <c r="M196" s="289"/>
      <c r="N196" s="289"/>
      <c r="O196" s="289"/>
      <c r="P196" s="289"/>
      <c r="Q196" s="289"/>
      <c r="R196" s="289"/>
      <c r="S196" s="289"/>
      <c r="T196" s="289"/>
      <c r="U196" s="289"/>
      <c r="V196" s="289"/>
      <c r="W196" s="289"/>
      <c r="X196" s="289"/>
    </row>
    <row r="197" spans="1:24" ht="31.5">
      <c r="A197" s="138"/>
      <c r="B197" s="285" t="s">
        <v>518</v>
      </c>
      <c r="C197" s="328">
        <v>8950</v>
      </c>
      <c r="D197" s="328">
        <v>418</v>
      </c>
      <c r="E197" s="329">
        <f>D197-C197</f>
        <v>-8532</v>
      </c>
      <c r="F197" s="329">
        <f>D197/C197*100</f>
        <v>4.6703910614525137</v>
      </c>
      <c r="G197" s="442" t="s">
        <v>663</v>
      </c>
    </row>
    <row r="198" spans="1:24" ht="31.5">
      <c r="A198" s="138"/>
      <c r="B198" s="285" t="s">
        <v>519</v>
      </c>
      <c r="C198" s="334">
        <f>C196/C197</f>
        <v>0.76435754189944138</v>
      </c>
      <c r="D198" s="334">
        <f>D196/D197</f>
        <v>3.4156555023923443</v>
      </c>
      <c r="E198" s="527">
        <f>D198-C198</f>
        <v>2.651297960492903</v>
      </c>
      <c r="F198" s="329">
        <f>D198/C198*100</f>
        <v>446.86620006448584</v>
      </c>
      <c r="G198" s="452" t="s">
        <v>400</v>
      </c>
    </row>
    <row r="199" spans="1:24" ht="63">
      <c r="A199" s="138"/>
      <c r="B199" s="285" t="s">
        <v>520</v>
      </c>
      <c r="C199" s="419">
        <v>50</v>
      </c>
      <c r="D199" s="419">
        <f>D197/12591*100</f>
        <v>3.3198316257644347</v>
      </c>
      <c r="E199" s="528">
        <f>D199-C199</f>
        <v>-46.680168374235564</v>
      </c>
      <c r="F199" s="329">
        <f>D199/C199*100</f>
        <v>6.6396632515288694</v>
      </c>
      <c r="G199" s="452" t="s">
        <v>400</v>
      </c>
    </row>
    <row r="200" spans="1:24" s="198" customFormat="1" ht="21.75" customHeight="1">
      <c r="A200" s="287" t="s">
        <v>379</v>
      </c>
      <c r="B200" s="1042" t="s">
        <v>154</v>
      </c>
      <c r="C200" s="1043"/>
      <c r="D200" s="1043"/>
      <c r="E200" s="1043"/>
      <c r="F200" s="1043"/>
      <c r="G200" s="1044"/>
      <c r="H200" s="323"/>
      <c r="I200" s="124"/>
      <c r="J200" s="124"/>
      <c r="K200" s="124"/>
      <c r="L200" s="124"/>
      <c r="M200" s="124"/>
      <c r="N200" s="234"/>
      <c r="O200" s="234"/>
      <c r="P200" s="234"/>
      <c r="Q200" s="234"/>
      <c r="R200" s="234"/>
      <c r="S200" s="234"/>
      <c r="T200" s="234"/>
      <c r="U200" s="234"/>
      <c r="V200" s="234"/>
      <c r="W200" s="234"/>
      <c r="X200" s="234"/>
    </row>
    <row r="201" spans="1:24" s="290" customFormat="1">
      <c r="A201" s="291"/>
      <c r="B201" s="293" t="s">
        <v>521</v>
      </c>
      <c r="C201" s="108">
        <f>'звіт І кв'!E75</f>
        <v>58952.05</v>
      </c>
      <c r="D201" s="108">
        <v>13280.322069999998</v>
      </c>
      <c r="E201" s="108">
        <f>D201-C201</f>
        <v>-45671.727930000008</v>
      </c>
      <c r="F201" s="360">
        <f>D201/C201*100</f>
        <v>22.527328684922743</v>
      </c>
      <c r="G201" s="442" t="s">
        <v>400</v>
      </c>
      <c r="H201" s="324"/>
      <c r="I201" s="289"/>
      <c r="J201" s="289"/>
      <c r="K201" s="289"/>
      <c r="L201" s="289"/>
      <c r="M201" s="289"/>
      <c r="N201" s="288"/>
      <c r="O201" s="288"/>
      <c r="P201" s="288"/>
      <c r="Q201" s="288"/>
      <c r="R201" s="288"/>
      <c r="S201" s="288"/>
      <c r="T201" s="288"/>
      <c r="U201" s="288"/>
      <c r="V201" s="288"/>
      <c r="W201" s="288"/>
      <c r="X201" s="288"/>
    </row>
    <row r="202" spans="1:24" s="198" customFormat="1" ht="20.25" customHeight="1">
      <c r="A202" s="205" t="s">
        <v>380</v>
      </c>
      <c r="B202" s="1004" t="s">
        <v>156</v>
      </c>
      <c r="C202" s="1005"/>
      <c r="D202" s="1005"/>
      <c r="E202" s="1005"/>
      <c r="F202" s="1005"/>
      <c r="G202" s="1006"/>
      <c r="H202" s="323"/>
      <c r="I202" s="124"/>
      <c r="J202" s="124"/>
      <c r="K202" s="124"/>
      <c r="L202" s="124"/>
      <c r="M202" s="124"/>
      <c r="N202" s="234"/>
      <c r="O202" s="234"/>
      <c r="P202" s="234"/>
      <c r="Q202" s="234"/>
      <c r="R202" s="234"/>
      <c r="S202" s="234"/>
      <c r="T202" s="234"/>
      <c r="U202" s="234"/>
      <c r="V202" s="234"/>
      <c r="W202" s="234"/>
      <c r="X202" s="234"/>
    </row>
    <row r="203" spans="1:24" s="198" customFormat="1" ht="20.25" customHeight="1">
      <c r="A203" s="235"/>
      <c r="B203" s="429" t="s">
        <v>522</v>
      </c>
      <c r="C203" s="292"/>
      <c r="D203" s="292"/>
      <c r="E203" s="429"/>
      <c r="F203" s="429"/>
      <c r="G203" s="429"/>
      <c r="H203" s="323"/>
      <c r="I203" s="124"/>
      <c r="J203" s="124"/>
      <c r="K203" s="124"/>
      <c r="L203" s="124"/>
      <c r="M203" s="124"/>
      <c r="N203" s="234"/>
      <c r="O203" s="234"/>
      <c r="P203" s="234"/>
      <c r="Q203" s="234"/>
      <c r="R203" s="234"/>
      <c r="S203" s="234"/>
      <c r="T203" s="234"/>
      <c r="U203" s="234"/>
      <c r="V203" s="234"/>
      <c r="W203" s="234"/>
      <c r="X203" s="234"/>
    </row>
    <row r="204" spans="1:24" s="198" customFormat="1" ht="47.25">
      <c r="A204" s="235"/>
      <c r="B204" s="193" t="s">
        <v>523</v>
      </c>
      <c r="C204" s="318">
        <v>13600</v>
      </c>
      <c r="D204" s="318">
        <v>3866</v>
      </c>
      <c r="E204" s="191">
        <f>D204-C204</f>
        <v>-9734</v>
      </c>
      <c r="F204" s="147">
        <f>D204/C204*100</f>
        <v>28.426470588235293</v>
      </c>
      <c r="G204" s="452" t="s">
        <v>400</v>
      </c>
      <c r="H204" s="323"/>
      <c r="I204" s="124"/>
      <c r="J204" s="124"/>
      <c r="K204" s="124"/>
      <c r="L204" s="124"/>
      <c r="M204" s="124"/>
      <c r="N204" s="234"/>
      <c r="O204" s="234"/>
      <c r="P204" s="234"/>
      <c r="Q204" s="234"/>
      <c r="R204" s="234"/>
      <c r="S204" s="234"/>
      <c r="T204" s="234"/>
      <c r="U204" s="234"/>
      <c r="V204" s="234"/>
      <c r="W204" s="234"/>
      <c r="X204" s="234"/>
    </row>
    <row r="205" spans="1:24" s="198" customFormat="1" ht="47.25">
      <c r="A205" s="235"/>
      <c r="B205" s="193" t="s">
        <v>524</v>
      </c>
      <c r="C205" s="318">
        <v>15000</v>
      </c>
      <c r="D205" s="318">
        <v>1510</v>
      </c>
      <c r="E205" s="191">
        <f t="shared" ref="E205:E215" si="9">D205-C205</f>
        <v>-13490</v>
      </c>
      <c r="F205" s="192">
        <f t="shared" ref="F205:F215" si="10">D205/C205*100</f>
        <v>10.066666666666666</v>
      </c>
      <c r="G205" s="452" t="s">
        <v>400</v>
      </c>
      <c r="H205" s="323"/>
      <c r="I205" s="124"/>
      <c r="J205" s="124"/>
      <c r="K205" s="124"/>
      <c r="L205" s="124"/>
      <c r="M205" s="124"/>
      <c r="N205" s="234"/>
      <c r="O205" s="234"/>
      <c r="P205" s="234"/>
      <c r="Q205" s="234"/>
      <c r="R205" s="234"/>
      <c r="S205" s="234"/>
      <c r="T205" s="234"/>
      <c r="U205" s="234"/>
      <c r="V205" s="234"/>
      <c r="W205" s="234"/>
      <c r="X205" s="234"/>
    </row>
    <row r="206" spans="1:24" s="198" customFormat="1">
      <c r="A206" s="235"/>
      <c r="B206" s="429" t="s">
        <v>525</v>
      </c>
      <c r="C206" s="368"/>
      <c r="D206" s="318"/>
      <c r="E206" s="191"/>
      <c r="F206" s="191"/>
      <c r="G206" s="193"/>
      <c r="H206" s="322"/>
      <c r="I206" s="278"/>
      <c r="J206" s="278"/>
      <c r="K206" s="278"/>
      <c r="L206" s="278"/>
      <c r="M206" s="278"/>
      <c r="N206" s="281"/>
      <c r="O206" s="281"/>
      <c r="P206" s="281"/>
      <c r="Q206" s="281"/>
      <c r="R206" s="281"/>
      <c r="S206" s="281"/>
      <c r="T206" s="281"/>
      <c r="U206" s="281"/>
      <c r="V206" s="281"/>
      <c r="W206" s="281"/>
      <c r="X206" s="281"/>
    </row>
    <row r="207" spans="1:24" s="198" customFormat="1" ht="31.5">
      <c r="A207" s="235"/>
      <c r="B207" s="294" t="s">
        <v>529</v>
      </c>
      <c r="C207" s="421">
        <v>15000</v>
      </c>
      <c r="D207" s="318">
        <v>6091</v>
      </c>
      <c r="E207" s="191">
        <f t="shared" si="9"/>
        <v>-8909</v>
      </c>
      <c r="F207" s="192">
        <f t="shared" si="10"/>
        <v>40.606666666666669</v>
      </c>
      <c r="G207" s="452" t="s">
        <v>400</v>
      </c>
      <c r="H207" s="322"/>
      <c r="I207" s="278"/>
      <c r="J207" s="278"/>
      <c r="K207" s="278"/>
      <c r="L207" s="278"/>
      <c r="M207" s="278"/>
      <c r="N207" s="281"/>
      <c r="O207" s="281"/>
      <c r="P207" s="281"/>
      <c r="Q207" s="281"/>
      <c r="R207" s="281"/>
      <c r="S207" s="281"/>
      <c r="T207" s="281"/>
      <c r="U207" s="281"/>
      <c r="V207" s="281"/>
      <c r="W207" s="281"/>
      <c r="X207" s="281"/>
    </row>
    <row r="208" spans="1:24" s="198" customFormat="1">
      <c r="A208" s="235"/>
      <c r="B208" s="429" t="s">
        <v>528</v>
      </c>
      <c r="C208" s="368"/>
      <c r="D208" s="318"/>
      <c r="E208" s="191"/>
      <c r="F208" s="191"/>
      <c r="G208" s="193"/>
      <c r="H208" s="322"/>
      <c r="I208" s="278"/>
      <c r="J208" s="278"/>
      <c r="K208" s="278"/>
      <c r="L208" s="278"/>
      <c r="M208" s="278"/>
      <c r="N208" s="281"/>
      <c r="O208" s="281"/>
      <c r="P208" s="281"/>
      <c r="Q208" s="281"/>
      <c r="R208" s="281"/>
      <c r="S208" s="281"/>
      <c r="T208" s="281"/>
      <c r="U208" s="281"/>
      <c r="V208" s="281"/>
      <c r="W208" s="281"/>
      <c r="X208" s="281"/>
    </row>
    <row r="209" spans="1:24" s="198" customFormat="1" ht="31.5">
      <c r="A209" s="235"/>
      <c r="B209" s="279" t="s">
        <v>530</v>
      </c>
      <c r="C209" s="422">
        <v>35800</v>
      </c>
      <c r="D209" s="318">
        <v>6395</v>
      </c>
      <c r="E209" s="191">
        <f t="shared" si="9"/>
        <v>-29405</v>
      </c>
      <c r="F209" s="192">
        <f t="shared" si="10"/>
        <v>17.863128491620113</v>
      </c>
      <c r="G209" s="452" t="s">
        <v>400</v>
      </c>
      <c r="H209" s="322"/>
      <c r="I209" s="278"/>
      <c r="J209" s="278"/>
      <c r="K209" s="278"/>
      <c r="L209" s="278"/>
      <c r="M209" s="278"/>
      <c r="N209" s="281"/>
      <c r="O209" s="281"/>
      <c r="P209" s="281"/>
      <c r="Q209" s="281"/>
      <c r="R209" s="281"/>
      <c r="S209" s="281"/>
      <c r="T209" s="281"/>
      <c r="U209" s="281"/>
      <c r="V209" s="281"/>
      <c r="W209" s="281"/>
      <c r="X209" s="281"/>
    </row>
    <row r="210" spans="1:24" s="198" customFormat="1">
      <c r="A210" s="235"/>
      <c r="B210" s="261" t="s">
        <v>526</v>
      </c>
      <c r="C210" s="368"/>
      <c r="D210" s="318"/>
      <c r="E210" s="191"/>
      <c r="F210" s="191"/>
      <c r="G210" s="193"/>
      <c r="H210" s="322"/>
      <c r="I210" s="278"/>
      <c r="J210" s="278"/>
      <c r="K210" s="278"/>
      <c r="L210" s="278"/>
      <c r="M210" s="278"/>
      <c r="N210" s="281"/>
      <c r="O210" s="281"/>
      <c r="P210" s="281"/>
      <c r="Q210" s="281"/>
      <c r="R210" s="281"/>
      <c r="S210" s="281"/>
      <c r="T210" s="281"/>
      <c r="U210" s="281"/>
      <c r="V210" s="281"/>
      <c r="W210" s="281"/>
      <c r="X210" s="281"/>
    </row>
    <row r="211" spans="1:24" s="198" customFormat="1" ht="47.25">
      <c r="A211" s="235"/>
      <c r="B211" s="279" t="s">
        <v>531</v>
      </c>
      <c r="C211" s="422">
        <v>35800</v>
      </c>
      <c r="D211" s="318">
        <v>2378</v>
      </c>
      <c r="E211" s="191">
        <f t="shared" si="9"/>
        <v>-33422</v>
      </c>
      <c r="F211" s="192">
        <f t="shared" si="10"/>
        <v>6.6424581005586596</v>
      </c>
      <c r="G211" s="193" t="s">
        <v>607</v>
      </c>
      <c r="H211" s="322"/>
      <c r="I211" s="278"/>
      <c r="J211" s="278"/>
      <c r="K211" s="278"/>
      <c r="L211" s="278"/>
      <c r="M211" s="278"/>
      <c r="N211" s="281"/>
      <c r="O211" s="281"/>
      <c r="P211" s="281"/>
      <c r="Q211" s="281"/>
      <c r="R211" s="281"/>
      <c r="S211" s="281"/>
      <c r="T211" s="281"/>
      <c r="U211" s="281"/>
      <c r="V211" s="281"/>
      <c r="W211" s="281"/>
      <c r="X211" s="281"/>
    </row>
    <row r="212" spans="1:24" s="198" customFormat="1" ht="31.5">
      <c r="A212" s="235"/>
      <c r="B212" s="261" t="s">
        <v>527</v>
      </c>
      <c r="C212" s="368"/>
      <c r="D212" s="318"/>
      <c r="E212" s="191"/>
      <c r="F212" s="191"/>
      <c r="G212" s="193"/>
      <c r="H212" s="322"/>
      <c r="I212" s="278"/>
      <c r="J212" s="278"/>
      <c r="K212" s="278"/>
      <c r="L212" s="278"/>
      <c r="M212" s="278"/>
      <c r="N212" s="281"/>
      <c r="O212" s="281"/>
      <c r="P212" s="281"/>
      <c r="Q212" s="281"/>
      <c r="R212" s="281"/>
      <c r="S212" s="281"/>
      <c r="T212" s="281"/>
      <c r="U212" s="281"/>
      <c r="V212" s="281"/>
      <c r="W212" s="281"/>
      <c r="X212" s="281"/>
    </row>
    <row r="213" spans="1:24" s="198" customFormat="1" ht="47.25">
      <c r="A213" s="235"/>
      <c r="B213" s="280" t="s">
        <v>532</v>
      </c>
      <c r="C213" s="422">
        <v>1600</v>
      </c>
      <c r="D213" s="318">
        <v>1239</v>
      </c>
      <c r="E213" s="191">
        <f t="shared" si="9"/>
        <v>-361</v>
      </c>
      <c r="F213" s="192">
        <f t="shared" si="10"/>
        <v>77.4375</v>
      </c>
      <c r="G213" s="193" t="s">
        <v>603</v>
      </c>
      <c r="H213" s="322"/>
      <c r="I213" s="278"/>
      <c r="J213" s="278"/>
      <c r="K213" s="278"/>
      <c r="L213" s="278"/>
      <c r="M213" s="278"/>
      <c r="N213" s="281"/>
      <c r="O213" s="281"/>
      <c r="P213" s="281"/>
      <c r="Q213" s="281"/>
      <c r="R213" s="281"/>
      <c r="S213" s="281"/>
      <c r="T213" s="281"/>
      <c r="U213" s="281"/>
      <c r="V213" s="281"/>
      <c r="W213" s="281"/>
      <c r="X213" s="281"/>
    </row>
    <row r="214" spans="1:24" s="198" customFormat="1" ht="47.25">
      <c r="A214" s="235"/>
      <c r="B214" s="262" t="s">
        <v>533</v>
      </c>
      <c r="C214" s="330">
        <v>3.75</v>
      </c>
      <c r="D214" s="330">
        <f>D201/D169</f>
        <v>1.491668209592272</v>
      </c>
      <c r="E214" s="203">
        <f t="shared" si="9"/>
        <v>-2.2583317904077278</v>
      </c>
      <c r="F214" s="192">
        <f t="shared" si="10"/>
        <v>39.777818922460582</v>
      </c>
      <c r="G214" s="193" t="s">
        <v>608</v>
      </c>
      <c r="H214" s="323"/>
      <c r="I214" s="124"/>
      <c r="J214" s="124"/>
      <c r="K214" s="124"/>
      <c r="L214" s="124"/>
      <c r="M214" s="124"/>
      <c r="N214" s="234"/>
      <c r="O214" s="234"/>
      <c r="P214" s="234"/>
      <c r="Q214" s="234"/>
      <c r="R214" s="234"/>
      <c r="S214" s="234"/>
      <c r="T214" s="234"/>
      <c r="U214" s="234"/>
      <c r="V214" s="234"/>
      <c r="W214" s="234"/>
      <c r="X214" s="234"/>
    </row>
    <row r="215" spans="1:24" s="198" customFormat="1" ht="54" customHeight="1">
      <c r="A215" s="235"/>
      <c r="B215" s="262" t="s">
        <v>534</v>
      </c>
      <c r="C215" s="318">
        <v>90</v>
      </c>
      <c r="D215" s="318">
        <v>91.4</v>
      </c>
      <c r="E215" s="526">
        <f t="shared" si="9"/>
        <v>1.4000000000000057</v>
      </c>
      <c r="F215" s="192">
        <f t="shared" si="10"/>
        <v>101.55555555555556</v>
      </c>
      <c r="G215" s="325" t="s">
        <v>664</v>
      </c>
      <c r="H215" s="323"/>
      <c r="I215" s="124"/>
      <c r="J215" s="124"/>
      <c r="K215" s="124"/>
      <c r="L215" s="124"/>
      <c r="M215" s="124"/>
      <c r="N215" s="234"/>
      <c r="O215" s="234"/>
      <c r="P215" s="234"/>
      <c r="Q215" s="234"/>
      <c r="R215" s="234"/>
      <c r="S215" s="234"/>
      <c r="T215" s="234"/>
      <c r="U215" s="234"/>
      <c r="V215" s="234"/>
      <c r="W215" s="234"/>
      <c r="X215" s="234"/>
    </row>
    <row r="216" spans="1:24">
      <c r="A216" s="205" t="s">
        <v>159</v>
      </c>
      <c r="B216" s="1004" t="s">
        <v>535</v>
      </c>
      <c r="C216" s="1005"/>
      <c r="D216" s="1005"/>
      <c r="E216" s="1005"/>
      <c r="F216" s="1005"/>
      <c r="G216" s="1006"/>
    </row>
    <row r="217" spans="1:24" ht="68.25" customHeight="1">
      <c r="A217" s="213"/>
      <c r="B217" s="259" t="s">
        <v>536</v>
      </c>
      <c r="C217" s="332">
        <v>1680</v>
      </c>
      <c r="D217" s="332">
        <v>2093</v>
      </c>
      <c r="E217" s="143">
        <f>D217-C217</f>
        <v>413</v>
      </c>
      <c r="F217" s="143">
        <f>D217/C217*100</f>
        <v>124.58333333333333</v>
      </c>
      <c r="G217" s="193" t="s">
        <v>708</v>
      </c>
    </row>
    <row r="218" spans="1:24" ht="110.25">
      <c r="A218" s="210"/>
      <c r="B218" s="259" t="s">
        <v>537</v>
      </c>
      <c r="C218" s="336">
        <v>92</v>
      </c>
      <c r="D218" s="336" t="s">
        <v>653</v>
      </c>
      <c r="E218" s="143" t="s">
        <v>653</v>
      </c>
      <c r="F218" s="143" t="s">
        <v>653</v>
      </c>
      <c r="G218" s="442" t="s">
        <v>707</v>
      </c>
    </row>
    <row r="219" spans="1:24" ht="36.75" customHeight="1">
      <c r="A219" s="208" t="s">
        <v>384</v>
      </c>
      <c r="B219" s="999" t="s">
        <v>538</v>
      </c>
      <c r="C219" s="1000"/>
      <c r="D219" s="1000"/>
      <c r="E219" s="1000"/>
      <c r="F219" s="1000"/>
      <c r="G219" s="1001"/>
    </row>
    <row r="220" spans="1:24" s="341" customFormat="1">
      <c r="A220" s="398"/>
      <c r="B220" s="453" t="s">
        <v>517</v>
      </c>
      <c r="C220" s="108">
        <f>'звіт І кв'!E82</f>
        <v>288</v>
      </c>
      <c r="D220" s="391">
        <v>0</v>
      </c>
      <c r="E220" s="336">
        <f>D220-C220</f>
        <v>-288</v>
      </c>
      <c r="F220" s="332">
        <f>D220/C220*100</f>
        <v>0</v>
      </c>
      <c r="G220" s="443" t="s">
        <v>660</v>
      </c>
      <c r="H220" s="340"/>
      <c r="I220" s="289"/>
      <c r="J220" s="289"/>
      <c r="K220" s="289"/>
      <c r="L220" s="289"/>
      <c r="M220" s="289"/>
      <c r="N220" s="289"/>
      <c r="O220" s="289"/>
      <c r="P220" s="289"/>
      <c r="Q220" s="289"/>
      <c r="R220" s="289"/>
      <c r="S220" s="289"/>
      <c r="T220" s="289"/>
      <c r="U220" s="289"/>
      <c r="V220" s="289"/>
      <c r="W220" s="289"/>
      <c r="X220" s="289"/>
    </row>
    <row r="221" spans="1:24" ht="47.25">
      <c r="A221" s="207"/>
      <c r="B221" s="454" t="s">
        <v>675</v>
      </c>
      <c r="C221" s="318">
        <v>5</v>
      </c>
      <c r="D221" s="336">
        <v>0</v>
      </c>
      <c r="E221" s="117">
        <f>D221-C221</f>
        <v>-5</v>
      </c>
      <c r="F221" s="143">
        <f>D221/C221*100</f>
        <v>0</v>
      </c>
      <c r="G221" s="442" t="s">
        <v>685</v>
      </c>
    </row>
    <row r="222" spans="1:24" ht="31.5">
      <c r="A222" s="207"/>
      <c r="B222" s="454" t="s">
        <v>676</v>
      </c>
      <c r="C222" s="318">
        <f>C220/C221</f>
        <v>57.6</v>
      </c>
      <c r="D222" s="391">
        <v>0</v>
      </c>
      <c r="E222" s="117">
        <f>D222-C222</f>
        <v>-57.6</v>
      </c>
      <c r="F222" s="143">
        <f>D222/C222*100</f>
        <v>0</v>
      </c>
      <c r="G222" s="442" t="s">
        <v>685</v>
      </c>
    </row>
    <row r="223" spans="1:24" ht="47.25">
      <c r="A223" s="207"/>
      <c r="B223" s="454" t="s">
        <v>677</v>
      </c>
      <c r="C223" s="318">
        <v>16</v>
      </c>
      <c r="D223" s="336">
        <v>0</v>
      </c>
      <c r="E223" s="117">
        <f>D223-C223</f>
        <v>-16</v>
      </c>
      <c r="F223" s="143">
        <f>D223/C223*100</f>
        <v>0</v>
      </c>
      <c r="G223" s="442" t="s">
        <v>685</v>
      </c>
    </row>
    <row r="224" spans="1:24">
      <c r="A224" s="211" t="s">
        <v>163</v>
      </c>
      <c r="B224" s="996" t="s">
        <v>539</v>
      </c>
      <c r="C224" s="997"/>
      <c r="D224" s="997"/>
      <c r="E224" s="997"/>
      <c r="F224" s="997"/>
      <c r="G224" s="998"/>
    </row>
    <row r="225" spans="1:7" ht="47.25">
      <c r="A225" s="213"/>
      <c r="B225" s="430" t="s">
        <v>540</v>
      </c>
      <c r="C225" s="336">
        <v>20</v>
      </c>
      <c r="D225" s="336">
        <v>1</v>
      </c>
      <c r="E225" s="117">
        <f>D225-C225</f>
        <v>-19</v>
      </c>
      <c r="F225" s="143">
        <f>D225/C225*100</f>
        <v>5</v>
      </c>
      <c r="G225" s="442" t="s">
        <v>709</v>
      </c>
    </row>
    <row r="226" spans="1:7" ht="47.25">
      <c r="A226" s="209"/>
      <c r="B226" s="430" t="s">
        <v>541</v>
      </c>
      <c r="C226" s="336">
        <v>100</v>
      </c>
      <c r="D226" s="351">
        <v>100</v>
      </c>
      <c r="E226" s="236">
        <f>D226-C226</f>
        <v>0</v>
      </c>
      <c r="F226" s="143">
        <f>D226/C226*100</f>
        <v>100</v>
      </c>
      <c r="G226" s="442" t="s">
        <v>400</v>
      </c>
    </row>
    <row r="227" spans="1:7" ht="47.25">
      <c r="A227" s="210"/>
      <c r="B227" s="430" t="s">
        <v>236</v>
      </c>
      <c r="C227" s="336">
        <v>100</v>
      </c>
      <c r="D227" s="336">
        <v>100</v>
      </c>
      <c r="E227" s="117">
        <f>D227-C227</f>
        <v>0</v>
      </c>
      <c r="F227" s="143">
        <f>D227/C227*100</f>
        <v>100</v>
      </c>
      <c r="G227" s="442" t="s">
        <v>400</v>
      </c>
    </row>
    <row r="228" spans="1:7">
      <c r="A228" s="125"/>
    </row>
    <row r="229" spans="1:7">
      <c r="A229" s="125"/>
    </row>
    <row r="230" spans="1:7">
      <c r="A230" s="125"/>
      <c r="B230" s="237" t="s">
        <v>406</v>
      </c>
      <c r="C230" s="415" t="s">
        <v>407</v>
      </c>
    </row>
    <row r="231" spans="1:7" ht="43.5" customHeight="1">
      <c r="A231" s="125"/>
    </row>
    <row r="232" spans="1:7" ht="16.5" customHeight="1">
      <c r="A232" s="125"/>
      <c r="B232" s="237" t="s">
        <v>408</v>
      </c>
    </row>
    <row r="233" spans="1:7">
      <c r="A233" s="125"/>
    </row>
    <row r="234" spans="1:7">
      <c r="A234" s="125"/>
    </row>
    <row r="235" spans="1:7">
      <c r="A235" s="125"/>
    </row>
    <row r="236" spans="1:7">
      <c r="A236" s="125"/>
    </row>
    <row r="237" spans="1:7">
      <c r="A237" s="125"/>
    </row>
    <row r="238" spans="1:7">
      <c r="A238" s="125"/>
    </row>
    <row r="239" spans="1:7">
      <c r="A239" s="125"/>
    </row>
    <row r="240" spans="1:7">
      <c r="A240" s="125"/>
    </row>
    <row r="241" spans="1:1">
      <c r="A241" s="125"/>
    </row>
    <row r="242" spans="1:1">
      <c r="A242" s="125"/>
    </row>
    <row r="243" spans="1:1">
      <c r="A243" s="125"/>
    </row>
    <row r="244" spans="1:1">
      <c r="A244" s="125"/>
    </row>
    <row r="245" spans="1:1">
      <c r="A245" s="125"/>
    </row>
    <row r="246" spans="1:1">
      <c r="A246" s="125"/>
    </row>
    <row r="247" spans="1:1">
      <c r="A247" s="125"/>
    </row>
    <row r="248" spans="1:1">
      <c r="A248" s="125"/>
    </row>
    <row r="249" spans="1:1">
      <c r="A249" s="125"/>
    </row>
    <row r="250" spans="1:1">
      <c r="A250" s="125"/>
    </row>
    <row r="251" spans="1:1">
      <c r="A251" s="125"/>
    </row>
    <row r="252" spans="1:1">
      <c r="A252" s="125"/>
    </row>
    <row r="253" spans="1:1">
      <c r="A253" s="125"/>
    </row>
    <row r="254" spans="1:1">
      <c r="A254" s="125"/>
    </row>
    <row r="255" spans="1:1">
      <c r="A255" s="125"/>
    </row>
    <row r="256" spans="1:1">
      <c r="A256" s="125"/>
    </row>
    <row r="257" spans="1:1">
      <c r="A257" s="125"/>
    </row>
    <row r="258" spans="1:1">
      <c r="A258" s="125"/>
    </row>
    <row r="259" spans="1:1">
      <c r="A259" s="125"/>
    </row>
    <row r="260" spans="1:1">
      <c r="A260" s="125"/>
    </row>
    <row r="261" spans="1:1">
      <c r="A261" s="125"/>
    </row>
    <row r="262" spans="1:1">
      <c r="A262" s="125"/>
    </row>
    <row r="263" spans="1:1">
      <c r="A263" s="125"/>
    </row>
    <row r="264" spans="1:1">
      <c r="A264" s="125"/>
    </row>
    <row r="265" spans="1:1">
      <c r="A265" s="125"/>
    </row>
    <row r="266" spans="1:1">
      <c r="A266" s="125"/>
    </row>
    <row r="267" spans="1:1">
      <c r="A267" s="125"/>
    </row>
    <row r="268" spans="1:1">
      <c r="A268" s="125"/>
    </row>
    <row r="269" spans="1:1">
      <c r="A269" s="125"/>
    </row>
    <row r="270" spans="1:1">
      <c r="A270" s="125"/>
    </row>
    <row r="271" spans="1:1">
      <c r="A271" s="125"/>
    </row>
    <row r="272" spans="1:1">
      <c r="A272" s="125"/>
    </row>
    <row r="273" spans="1:1">
      <c r="A273" s="125"/>
    </row>
    <row r="274" spans="1:1">
      <c r="A274" s="125"/>
    </row>
    <row r="275" spans="1:1">
      <c r="A275" s="125"/>
    </row>
    <row r="276" spans="1:1">
      <c r="A276" s="125"/>
    </row>
    <row r="277" spans="1:1">
      <c r="A277" s="125"/>
    </row>
    <row r="278" spans="1:1">
      <c r="A278" s="125"/>
    </row>
    <row r="279" spans="1:1">
      <c r="A279" s="125"/>
    </row>
    <row r="280" spans="1:1">
      <c r="A280" s="125"/>
    </row>
    <row r="281" spans="1:1">
      <c r="A281" s="125"/>
    </row>
    <row r="282" spans="1:1">
      <c r="A282" s="125"/>
    </row>
    <row r="283" spans="1:1">
      <c r="A283" s="125"/>
    </row>
    <row r="284" spans="1:1">
      <c r="A284" s="125"/>
    </row>
    <row r="285" spans="1:1">
      <c r="A285" s="125"/>
    </row>
    <row r="286" spans="1:1">
      <c r="A286" s="125"/>
    </row>
    <row r="287" spans="1:1">
      <c r="A287" s="125"/>
    </row>
    <row r="288" spans="1:1">
      <c r="A288" s="125"/>
    </row>
    <row r="289" spans="1:1">
      <c r="A289" s="125"/>
    </row>
    <row r="290" spans="1:1">
      <c r="A290" s="125"/>
    </row>
    <row r="291" spans="1:1">
      <c r="A291" s="125"/>
    </row>
    <row r="292" spans="1:1">
      <c r="A292" s="125"/>
    </row>
    <row r="293" spans="1:1">
      <c r="A293" s="125"/>
    </row>
    <row r="294" spans="1:1">
      <c r="A294" s="125"/>
    </row>
    <row r="295" spans="1:1">
      <c r="A295" s="125"/>
    </row>
    <row r="296" spans="1:1">
      <c r="A296" s="125"/>
    </row>
    <row r="297" spans="1:1">
      <c r="A297" s="125"/>
    </row>
    <row r="298" spans="1:1">
      <c r="A298" s="125"/>
    </row>
    <row r="299" spans="1:1">
      <c r="A299" s="125"/>
    </row>
    <row r="300" spans="1:1">
      <c r="A300" s="125"/>
    </row>
    <row r="301" spans="1:1">
      <c r="A301" s="125"/>
    </row>
    <row r="302" spans="1:1">
      <c r="A302" s="125"/>
    </row>
    <row r="303" spans="1:1">
      <c r="A303" s="125"/>
    </row>
    <row r="304" spans="1:1">
      <c r="A304" s="125"/>
    </row>
    <row r="305" spans="1:1">
      <c r="A305" s="125"/>
    </row>
    <row r="306" spans="1:1">
      <c r="A306" s="125"/>
    </row>
    <row r="307" spans="1:1">
      <c r="A307" s="125"/>
    </row>
    <row r="308" spans="1:1">
      <c r="A308" s="125"/>
    </row>
    <row r="309" spans="1:1">
      <c r="A309" s="125"/>
    </row>
    <row r="310" spans="1:1">
      <c r="A310" s="125"/>
    </row>
    <row r="311" spans="1:1">
      <c r="A311" s="125"/>
    </row>
    <row r="312" spans="1:1">
      <c r="A312" s="125"/>
    </row>
    <row r="313" spans="1:1">
      <c r="A313" s="125"/>
    </row>
    <row r="314" spans="1:1">
      <c r="A314" s="125"/>
    </row>
    <row r="315" spans="1:1">
      <c r="A315" s="125"/>
    </row>
    <row r="316" spans="1:1">
      <c r="A316" s="125"/>
    </row>
    <row r="317" spans="1:1">
      <c r="A317" s="125"/>
    </row>
    <row r="318" spans="1:1">
      <c r="A318" s="125"/>
    </row>
    <row r="319" spans="1:1">
      <c r="A319" s="125"/>
    </row>
    <row r="320" spans="1:1">
      <c r="A320" s="125"/>
    </row>
    <row r="321" spans="1:1">
      <c r="A321" s="125"/>
    </row>
    <row r="322" spans="1:1">
      <c r="A322" s="125"/>
    </row>
    <row r="323" spans="1:1">
      <c r="A323" s="125"/>
    </row>
    <row r="324" spans="1:1">
      <c r="A324" s="125"/>
    </row>
    <row r="325" spans="1:1">
      <c r="A325" s="125"/>
    </row>
    <row r="326" spans="1:1">
      <c r="A326" s="125"/>
    </row>
    <row r="327" spans="1:1">
      <c r="A327" s="125"/>
    </row>
    <row r="328" spans="1:1">
      <c r="A328" s="125"/>
    </row>
    <row r="329" spans="1:1">
      <c r="A329" s="125"/>
    </row>
    <row r="330" spans="1:1">
      <c r="A330" s="125"/>
    </row>
    <row r="331" spans="1:1">
      <c r="A331" s="125"/>
    </row>
    <row r="332" spans="1:1">
      <c r="A332" s="125"/>
    </row>
    <row r="333" spans="1:1">
      <c r="A333" s="125"/>
    </row>
    <row r="334" spans="1:1">
      <c r="A334" s="125"/>
    </row>
    <row r="335" spans="1:1">
      <c r="A335" s="125"/>
    </row>
    <row r="336" spans="1:1">
      <c r="A336" s="125"/>
    </row>
    <row r="337" spans="1:1">
      <c r="A337" s="125"/>
    </row>
    <row r="338" spans="1:1">
      <c r="A338" s="125"/>
    </row>
    <row r="339" spans="1:1">
      <c r="A339" s="125"/>
    </row>
    <row r="340" spans="1:1">
      <c r="A340" s="125"/>
    </row>
    <row r="341" spans="1:1">
      <c r="A341" s="125"/>
    </row>
    <row r="342" spans="1:1">
      <c r="A342" s="125"/>
    </row>
    <row r="343" spans="1:1">
      <c r="A343" s="125"/>
    </row>
    <row r="344" spans="1:1">
      <c r="A344" s="125"/>
    </row>
    <row r="345" spans="1:1">
      <c r="A345" s="125"/>
    </row>
    <row r="346" spans="1:1">
      <c r="A346" s="125"/>
    </row>
    <row r="347" spans="1:1">
      <c r="A347" s="125"/>
    </row>
    <row r="348" spans="1:1">
      <c r="A348" s="125"/>
    </row>
    <row r="349" spans="1:1">
      <c r="A349" s="125"/>
    </row>
    <row r="350" spans="1:1">
      <c r="A350" s="125"/>
    </row>
    <row r="351" spans="1:1">
      <c r="A351" s="125"/>
    </row>
    <row r="352" spans="1:1">
      <c r="A352" s="125"/>
    </row>
    <row r="353" spans="1:1">
      <c r="A353" s="125"/>
    </row>
    <row r="354" spans="1:1">
      <c r="A354" s="125"/>
    </row>
    <row r="355" spans="1:1">
      <c r="A355" s="125"/>
    </row>
    <row r="356" spans="1:1">
      <c r="A356" s="125"/>
    </row>
    <row r="357" spans="1:1">
      <c r="A357" s="125"/>
    </row>
    <row r="358" spans="1:1">
      <c r="A358" s="125"/>
    </row>
    <row r="359" spans="1:1">
      <c r="A359" s="125"/>
    </row>
    <row r="360" spans="1:1">
      <c r="A360" s="125"/>
    </row>
    <row r="361" spans="1:1">
      <c r="A361" s="125"/>
    </row>
    <row r="362" spans="1:1">
      <c r="A362" s="125"/>
    </row>
    <row r="363" spans="1:1">
      <c r="A363" s="125"/>
    </row>
    <row r="364" spans="1:1">
      <c r="A364" s="125"/>
    </row>
    <row r="365" spans="1:1">
      <c r="A365" s="125"/>
    </row>
    <row r="366" spans="1:1">
      <c r="A366" s="125"/>
    </row>
    <row r="367" spans="1:1">
      <c r="A367" s="125"/>
    </row>
    <row r="368" spans="1:1">
      <c r="A368" s="125"/>
    </row>
    <row r="369" spans="1:1">
      <c r="A369" s="125"/>
    </row>
    <row r="370" spans="1:1">
      <c r="A370" s="125"/>
    </row>
    <row r="371" spans="1:1">
      <c r="A371" s="125"/>
    </row>
    <row r="372" spans="1:1">
      <c r="A372" s="125"/>
    </row>
    <row r="373" spans="1:1">
      <c r="A373" s="125"/>
    </row>
    <row r="374" spans="1:1">
      <c r="A374" s="125"/>
    </row>
    <row r="375" spans="1:1">
      <c r="A375" s="125"/>
    </row>
    <row r="376" spans="1:1">
      <c r="A376" s="125"/>
    </row>
    <row r="377" spans="1:1">
      <c r="A377" s="125"/>
    </row>
    <row r="378" spans="1:1">
      <c r="A378" s="125"/>
    </row>
    <row r="379" spans="1:1">
      <c r="A379" s="125"/>
    </row>
    <row r="380" spans="1:1">
      <c r="A380" s="125"/>
    </row>
    <row r="381" spans="1:1">
      <c r="A381" s="125"/>
    </row>
    <row r="382" spans="1:1">
      <c r="A382" s="125"/>
    </row>
    <row r="383" spans="1:1">
      <c r="A383" s="125"/>
    </row>
    <row r="384" spans="1:1">
      <c r="A384" s="125"/>
    </row>
    <row r="385" spans="1:1">
      <c r="A385" s="125"/>
    </row>
    <row r="386" spans="1:1">
      <c r="A386" s="125"/>
    </row>
    <row r="387" spans="1:1">
      <c r="A387" s="125"/>
    </row>
    <row r="388" spans="1:1">
      <c r="A388" s="125"/>
    </row>
    <row r="389" spans="1:1">
      <c r="A389" s="125"/>
    </row>
    <row r="390" spans="1:1">
      <c r="A390" s="125"/>
    </row>
    <row r="391" spans="1:1">
      <c r="A391" s="125"/>
    </row>
    <row r="392" spans="1:1">
      <c r="A392" s="125"/>
    </row>
    <row r="393" spans="1:1">
      <c r="A393" s="125"/>
    </row>
    <row r="394" spans="1:1">
      <c r="A394" s="125"/>
    </row>
    <row r="395" spans="1:1">
      <c r="A395" s="125"/>
    </row>
    <row r="396" spans="1:1">
      <c r="A396" s="125"/>
    </row>
    <row r="397" spans="1:1">
      <c r="A397" s="125"/>
    </row>
    <row r="398" spans="1:1">
      <c r="A398" s="125"/>
    </row>
    <row r="399" spans="1:1">
      <c r="A399" s="125"/>
    </row>
    <row r="400" spans="1:1">
      <c r="A400" s="125"/>
    </row>
    <row r="401" spans="1:1">
      <c r="A401" s="125"/>
    </row>
    <row r="402" spans="1:1">
      <c r="A402" s="125"/>
    </row>
    <row r="403" spans="1:1">
      <c r="A403" s="125"/>
    </row>
    <row r="404" spans="1:1">
      <c r="A404" s="125"/>
    </row>
    <row r="405" spans="1:1">
      <c r="A405" s="125"/>
    </row>
    <row r="406" spans="1:1">
      <c r="A406" s="125"/>
    </row>
    <row r="407" spans="1:1">
      <c r="A407" s="125"/>
    </row>
    <row r="408" spans="1:1">
      <c r="A408" s="125"/>
    </row>
    <row r="409" spans="1:1">
      <c r="A409" s="125"/>
    </row>
    <row r="410" spans="1:1">
      <c r="A410" s="125"/>
    </row>
    <row r="411" spans="1:1">
      <c r="A411" s="125"/>
    </row>
    <row r="412" spans="1:1">
      <c r="A412" s="125"/>
    </row>
    <row r="413" spans="1:1">
      <c r="A413" s="125"/>
    </row>
    <row r="414" spans="1:1">
      <c r="A414" s="125"/>
    </row>
    <row r="415" spans="1:1">
      <c r="A415" s="125"/>
    </row>
    <row r="416" spans="1:1">
      <c r="A416" s="125"/>
    </row>
    <row r="417" spans="1:1">
      <c r="A417" s="125"/>
    </row>
    <row r="418" spans="1:1">
      <c r="A418" s="125"/>
    </row>
    <row r="419" spans="1:1">
      <c r="A419" s="125"/>
    </row>
    <row r="420" spans="1:1">
      <c r="A420" s="125"/>
    </row>
    <row r="421" spans="1:1">
      <c r="A421" s="125"/>
    </row>
    <row r="422" spans="1:1">
      <c r="A422" s="125"/>
    </row>
    <row r="423" spans="1:1">
      <c r="A423" s="125"/>
    </row>
    <row r="424" spans="1:1">
      <c r="A424" s="125"/>
    </row>
    <row r="425" spans="1:1">
      <c r="A425" s="125"/>
    </row>
    <row r="426" spans="1:1">
      <c r="A426" s="125"/>
    </row>
    <row r="427" spans="1:1">
      <c r="A427" s="125"/>
    </row>
    <row r="428" spans="1:1">
      <c r="A428" s="125"/>
    </row>
    <row r="429" spans="1:1">
      <c r="A429" s="125"/>
    </row>
    <row r="430" spans="1:1">
      <c r="A430" s="125"/>
    </row>
    <row r="431" spans="1:1">
      <c r="A431" s="125"/>
    </row>
    <row r="432" spans="1:1">
      <c r="A432" s="125"/>
    </row>
    <row r="433" spans="1:1">
      <c r="A433" s="125"/>
    </row>
    <row r="434" spans="1:1">
      <c r="A434" s="125"/>
    </row>
    <row r="435" spans="1:1">
      <c r="A435" s="125"/>
    </row>
    <row r="436" spans="1:1">
      <c r="A436" s="125"/>
    </row>
    <row r="437" spans="1:1">
      <c r="A437" s="125"/>
    </row>
    <row r="438" spans="1:1">
      <c r="A438" s="125"/>
    </row>
    <row r="439" spans="1:1">
      <c r="A439" s="125"/>
    </row>
    <row r="440" spans="1:1">
      <c r="A440" s="125"/>
    </row>
    <row r="441" spans="1:1">
      <c r="A441" s="125"/>
    </row>
    <row r="442" spans="1:1">
      <c r="A442" s="125"/>
    </row>
    <row r="443" spans="1:1">
      <c r="A443" s="125"/>
    </row>
    <row r="444" spans="1:1">
      <c r="A444" s="125"/>
    </row>
    <row r="445" spans="1:1">
      <c r="A445" s="125"/>
    </row>
    <row r="446" spans="1:1">
      <c r="A446" s="125"/>
    </row>
    <row r="447" spans="1:1">
      <c r="A447" s="125"/>
    </row>
    <row r="448" spans="1:1">
      <c r="A448" s="125"/>
    </row>
    <row r="449" spans="1:1">
      <c r="A449" s="125"/>
    </row>
    <row r="450" spans="1:1">
      <c r="A450" s="125"/>
    </row>
    <row r="451" spans="1:1">
      <c r="A451" s="125"/>
    </row>
    <row r="452" spans="1:1">
      <c r="A452" s="125"/>
    </row>
    <row r="453" spans="1:1">
      <c r="A453" s="125"/>
    </row>
    <row r="454" spans="1:1">
      <c r="A454" s="125"/>
    </row>
    <row r="455" spans="1:1">
      <c r="A455" s="125"/>
    </row>
    <row r="456" spans="1:1">
      <c r="A456" s="125"/>
    </row>
    <row r="457" spans="1:1">
      <c r="A457" s="125"/>
    </row>
    <row r="458" spans="1:1">
      <c r="A458" s="125"/>
    </row>
    <row r="459" spans="1:1">
      <c r="A459" s="125"/>
    </row>
    <row r="460" spans="1:1">
      <c r="A460" s="125"/>
    </row>
    <row r="461" spans="1:1">
      <c r="A461" s="125"/>
    </row>
    <row r="462" spans="1:1">
      <c r="A462" s="125"/>
    </row>
    <row r="463" spans="1:1">
      <c r="A463" s="125"/>
    </row>
    <row r="464" spans="1:1">
      <c r="A464" s="125"/>
    </row>
    <row r="465" spans="1:1">
      <c r="A465" s="125"/>
    </row>
    <row r="466" spans="1:1">
      <c r="A466" s="125"/>
    </row>
    <row r="467" spans="1:1">
      <c r="A467" s="125"/>
    </row>
    <row r="468" spans="1:1">
      <c r="A468" s="125"/>
    </row>
    <row r="469" spans="1:1">
      <c r="A469" s="125"/>
    </row>
    <row r="470" spans="1:1">
      <c r="A470" s="125"/>
    </row>
    <row r="471" spans="1:1">
      <c r="A471" s="125"/>
    </row>
    <row r="472" spans="1:1">
      <c r="A472" s="125"/>
    </row>
    <row r="473" spans="1:1">
      <c r="A473" s="125"/>
    </row>
    <row r="474" spans="1:1">
      <c r="A474" s="125"/>
    </row>
    <row r="475" spans="1:1">
      <c r="A475" s="125"/>
    </row>
    <row r="476" spans="1:1">
      <c r="A476" s="125"/>
    </row>
    <row r="477" spans="1:1">
      <c r="A477" s="125"/>
    </row>
    <row r="478" spans="1:1">
      <c r="A478" s="125"/>
    </row>
    <row r="479" spans="1:1">
      <c r="A479" s="125"/>
    </row>
    <row r="480" spans="1:1">
      <c r="A480" s="125"/>
    </row>
    <row r="481" spans="1:1">
      <c r="A481" s="125"/>
    </row>
    <row r="482" spans="1:1">
      <c r="A482" s="125"/>
    </row>
    <row r="483" spans="1:1">
      <c r="A483" s="125"/>
    </row>
    <row r="484" spans="1:1">
      <c r="A484" s="125"/>
    </row>
    <row r="485" spans="1:1">
      <c r="A485" s="125"/>
    </row>
    <row r="486" spans="1:1">
      <c r="A486" s="125"/>
    </row>
    <row r="487" spans="1:1">
      <c r="A487" s="125"/>
    </row>
    <row r="488" spans="1:1">
      <c r="A488" s="125"/>
    </row>
    <row r="489" spans="1:1">
      <c r="A489" s="125"/>
    </row>
    <row r="490" spans="1:1">
      <c r="A490" s="125"/>
    </row>
    <row r="491" spans="1:1">
      <c r="A491" s="125"/>
    </row>
    <row r="492" spans="1:1">
      <c r="A492" s="125"/>
    </row>
    <row r="493" spans="1:1">
      <c r="A493" s="125"/>
    </row>
    <row r="494" spans="1:1">
      <c r="A494" s="125"/>
    </row>
    <row r="495" spans="1:1">
      <c r="A495" s="125"/>
    </row>
    <row r="496" spans="1:1">
      <c r="A496" s="125"/>
    </row>
    <row r="497" spans="1:1">
      <c r="A497" s="125"/>
    </row>
    <row r="498" spans="1:1">
      <c r="A498" s="125"/>
    </row>
    <row r="499" spans="1:1">
      <c r="A499" s="125"/>
    </row>
    <row r="500" spans="1:1">
      <c r="A500" s="125"/>
    </row>
    <row r="501" spans="1:1">
      <c r="A501" s="125"/>
    </row>
    <row r="502" spans="1:1">
      <c r="A502" s="125"/>
    </row>
    <row r="503" spans="1:1">
      <c r="A503" s="125"/>
    </row>
    <row r="504" spans="1:1">
      <c r="A504" s="125"/>
    </row>
    <row r="505" spans="1:1">
      <c r="A505" s="125"/>
    </row>
    <row r="506" spans="1:1">
      <c r="A506" s="125"/>
    </row>
    <row r="507" spans="1:1">
      <c r="A507" s="125"/>
    </row>
    <row r="508" spans="1:1">
      <c r="A508" s="125"/>
    </row>
    <row r="509" spans="1:1">
      <c r="A509" s="125"/>
    </row>
    <row r="510" spans="1:1">
      <c r="A510" s="125"/>
    </row>
    <row r="511" spans="1:1">
      <c r="A511" s="125"/>
    </row>
    <row r="512" spans="1:1">
      <c r="A512" s="125"/>
    </row>
    <row r="513" spans="1:1">
      <c r="A513" s="125"/>
    </row>
    <row r="514" spans="1:1">
      <c r="A514" s="125"/>
    </row>
    <row r="515" spans="1:1">
      <c r="A515" s="125"/>
    </row>
    <row r="516" spans="1:1">
      <c r="A516" s="125"/>
    </row>
    <row r="517" spans="1:1">
      <c r="A517" s="125"/>
    </row>
    <row r="518" spans="1:1">
      <c r="A518" s="125"/>
    </row>
    <row r="519" spans="1:1">
      <c r="A519" s="125"/>
    </row>
    <row r="520" spans="1:1">
      <c r="A520" s="125"/>
    </row>
    <row r="521" spans="1:1">
      <c r="A521" s="125"/>
    </row>
    <row r="522" spans="1:1">
      <c r="A522" s="125"/>
    </row>
    <row r="523" spans="1:1">
      <c r="A523" s="125"/>
    </row>
    <row r="524" spans="1:1">
      <c r="A524" s="125"/>
    </row>
    <row r="525" spans="1:1">
      <c r="A525" s="125"/>
    </row>
    <row r="526" spans="1:1">
      <c r="A526" s="125"/>
    </row>
    <row r="527" spans="1:1">
      <c r="A527" s="125"/>
    </row>
    <row r="528" spans="1:1">
      <c r="A528" s="125"/>
    </row>
    <row r="529" spans="1:1">
      <c r="A529" s="125"/>
    </row>
    <row r="530" spans="1:1">
      <c r="A530" s="125"/>
    </row>
    <row r="531" spans="1:1">
      <c r="A531" s="125"/>
    </row>
    <row r="532" spans="1:1">
      <c r="A532" s="125"/>
    </row>
    <row r="533" spans="1:1">
      <c r="A533" s="125"/>
    </row>
    <row r="534" spans="1:1">
      <c r="A534" s="125"/>
    </row>
    <row r="535" spans="1:1">
      <c r="A535" s="125"/>
    </row>
    <row r="536" spans="1:1">
      <c r="A536" s="125"/>
    </row>
    <row r="537" spans="1:1">
      <c r="A537" s="125"/>
    </row>
    <row r="538" spans="1:1">
      <c r="A538" s="125"/>
    </row>
    <row r="539" spans="1:1">
      <c r="A539" s="125"/>
    </row>
    <row r="540" spans="1:1">
      <c r="A540" s="125"/>
    </row>
    <row r="541" spans="1:1">
      <c r="A541" s="125"/>
    </row>
    <row r="542" spans="1:1">
      <c r="A542" s="125"/>
    </row>
    <row r="543" spans="1:1">
      <c r="A543" s="125"/>
    </row>
    <row r="544" spans="1:1">
      <c r="A544" s="125"/>
    </row>
    <row r="545" spans="1:1">
      <c r="A545" s="125"/>
    </row>
    <row r="546" spans="1:1">
      <c r="A546" s="125"/>
    </row>
    <row r="547" spans="1:1">
      <c r="A547" s="125"/>
    </row>
    <row r="548" spans="1:1">
      <c r="A548" s="125"/>
    </row>
    <row r="549" spans="1:1">
      <c r="A549" s="125"/>
    </row>
    <row r="550" spans="1:1">
      <c r="A550" s="125"/>
    </row>
    <row r="551" spans="1:1">
      <c r="A551" s="125"/>
    </row>
    <row r="552" spans="1:1">
      <c r="A552" s="125"/>
    </row>
    <row r="553" spans="1:1">
      <c r="A553" s="125"/>
    </row>
    <row r="554" spans="1:1">
      <c r="A554" s="125"/>
    </row>
    <row r="555" spans="1:1">
      <c r="A555" s="125"/>
    </row>
    <row r="556" spans="1:1">
      <c r="A556" s="125"/>
    </row>
    <row r="557" spans="1:1">
      <c r="A557" s="125"/>
    </row>
    <row r="558" spans="1:1">
      <c r="A558" s="125"/>
    </row>
    <row r="559" spans="1:1">
      <c r="A559" s="125"/>
    </row>
    <row r="560" spans="1:1">
      <c r="A560" s="125"/>
    </row>
    <row r="561" spans="1:1">
      <c r="A561" s="125"/>
    </row>
    <row r="562" spans="1:1">
      <c r="A562" s="125"/>
    </row>
    <row r="563" spans="1:1">
      <c r="A563" s="125"/>
    </row>
    <row r="564" spans="1:1">
      <c r="A564" s="125"/>
    </row>
    <row r="565" spans="1:1">
      <c r="A565" s="125"/>
    </row>
    <row r="566" spans="1:1">
      <c r="A566" s="125"/>
    </row>
    <row r="567" spans="1:1">
      <c r="A567" s="125"/>
    </row>
    <row r="568" spans="1:1">
      <c r="A568" s="125"/>
    </row>
    <row r="569" spans="1:1">
      <c r="A569" s="125"/>
    </row>
    <row r="570" spans="1:1">
      <c r="A570" s="125"/>
    </row>
    <row r="571" spans="1:1">
      <c r="A571" s="125"/>
    </row>
    <row r="572" spans="1:1">
      <c r="A572" s="125"/>
    </row>
    <row r="573" spans="1:1">
      <c r="A573" s="125"/>
    </row>
    <row r="574" spans="1:1">
      <c r="A574" s="125"/>
    </row>
    <row r="575" spans="1:1">
      <c r="A575" s="125"/>
    </row>
    <row r="576" spans="1:1">
      <c r="A576" s="125"/>
    </row>
    <row r="577" spans="1:1">
      <c r="A577" s="125"/>
    </row>
    <row r="578" spans="1:1">
      <c r="A578" s="125"/>
    </row>
    <row r="579" spans="1:1">
      <c r="A579" s="125"/>
    </row>
    <row r="580" spans="1:1">
      <c r="A580" s="125"/>
    </row>
    <row r="581" spans="1:1">
      <c r="A581" s="125"/>
    </row>
    <row r="582" spans="1:1">
      <c r="A582" s="125"/>
    </row>
    <row r="583" spans="1:1">
      <c r="A583" s="125"/>
    </row>
    <row r="584" spans="1:1">
      <c r="A584" s="125"/>
    </row>
    <row r="585" spans="1:1">
      <c r="A585" s="125"/>
    </row>
    <row r="586" spans="1:1">
      <c r="A586" s="125"/>
    </row>
    <row r="587" spans="1:1">
      <c r="A587" s="125"/>
    </row>
    <row r="588" spans="1:1">
      <c r="A588" s="125"/>
    </row>
    <row r="589" spans="1:1">
      <c r="A589" s="125"/>
    </row>
    <row r="590" spans="1:1">
      <c r="A590" s="125"/>
    </row>
    <row r="591" spans="1:1">
      <c r="A591" s="125"/>
    </row>
    <row r="592" spans="1:1">
      <c r="A592" s="125"/>
    </row>
    <row r="593" spans="1:1">
      <c r="A593" s="125"/>
    </row>
    <row r="594" spans="1:1">
      <c r="A594" s="125"/>
    </row>
    <row r="595" spans="1:1">
      <c r="A595" s="125"/>
    </row>
    <row r="596" spans="1:1">
      <c r="A596" s="125"/>
    </row>
    <row r="597" spans="1:1">
      <c r="A597" s="125"/>
    </row>
    <row r="598" spans="1:1">
      <c r="A598" s="125"/>
    </row>
    <row r="599" spans="1:1">
      <c r="A599" s="125"/>
    </row>
    <row r="600" spans="1:1">
      <c r="A600" s="125"/>
    </row>
    <row r="601" spans="1:1">
      <c r="A601" s="125"/>
    </row>
    <row r="602" spans="1:1">
      <c r="A602" s="125"/>
    </row>
    <row r="603" spans="1:1">
      <c r="A603" s="125"/>
    </row>
    <row r="604" spans="1:1">
      <c r="A604" s="125"/>
    </row>
    <row r="605" spans="1:1">
      <c r="A605" s="125"/>
    </row>
    <row r="606" spans="1:1">
      <c r="A606" s="125"/>
    </row>
    <row r="607" spans="1:1">
      <c r="A607" s="125"/>
    </row>
    <row r="608" spans="1:1">
      <c r="A608" s="125"/>
    </row>
    <row r="609" spans="1:1">
      <c r="A609" s="125"/>
    </row>
  </sheetData>
  <mergeCells count="44">
    <mergeCell ref="A8:G8"/>
    <mergeCell ref="A9:G9"/>
    <mergeCell ref="A11:A12"/>
    <mergeCell ref="B11:B12"/>
    <mergeCell ref="C11:D11"/>
    <mergeCell ref="E11:E12"/>
    <mergeCell ref="F11:F12"/>
    <mergeCell ref="G11:G12"/>
    <mergeCell ref="B36:G36"/>
    <mergeCell ref="B41:G41"/>
    <mergeCell ref="B46:G46"/>
    <mergeCell ref="B51:G51"/>
    <mergeCell ref="B14:G14"/>
    <mergeCell ref="B15:G15"/>
    <mergeCell ref="B20:G20"/>
    <mergeCell ref="B25:G25"/>
    <mergeCell ref="B30:G30"/>
    <mergeCell ref="B33:G33"/>
    <mergeCell ref="B80:G80"/>
    <mergeCell ref="B87:G87"/>
    <mergeCell ref="B90:G90"/>
    <mergeCell ref="B64:G64"/>
    <mergeCell ref="B74:G74"/>
    <mergeCell ref="B79:G79"/>
    <mergeCell ref="B136:G136"/>
    <mergeCell ref="B95:G95"/>
    <mergeCell ref="B98:G98"/>
    <mergeCell ref="B100:G100"/>
    <mergeCell ref="B105:G105"/>
    <mergeCell ref="B110:G110"/>
    <mergeCell ref="B111:G111"/>
    <mergeCell ref="B160:G160"/>
    <mergeCell ref="B165:G165"/>
    <mergeCell ref="B166:G166"/>
    <mergeCell ref="B141:G141"/>
    <mergeCell ref="B146:G146"/>
    <mergeCell ref="B179:G179"/>
    <mergeCell ref="B224:G224"/>
    <mergeCell ref="B190:G190"/>
    <mergeCell ref="B195:G195"/>
    <mergeCell ref="B200:G200"/>
    <mergeCell ref="B202:G202"/>
    <mergeCell ref="B216:G216"/>
    <mergeCell ref="B219:G219"/>
  </mergeCells>
  <pageMargins left="0.25" right="0.25" top="0.75" bottom="0.75" header="0.3" footer="0.3"/>
  <pageSetup paperSize="9" scale="85" orientation="landscape" r:id="rId1"/>
  <ignoredErrors>
    <ignoredError sqref="E89"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10</vt:i4>
      </vt:variant>
    </vt:vector>
  </HeadingPairs>
  <TitlesOfParts>
    <vt:vector size="25" baseType="lpstr">
      <vt:lpstr>титул ІІ кв</vt:lpstr>
      <vt:lpstr>звіт 6 міс</vt:lpstr>
      <vt:lpstr>показники 6 міс</vt:lpstr>
      <vt:lpstr>титул 9 міс</vt:lpstr>
      <vt:lpstr>звіт 9 міс</vt:lpstr>
      <vt:lpstr>показники 9 міс</vt:lpstr>
      <vt:lpstr>2019</vt:lpstr>
      <vt:lpstr>звіт І кв</vt:lpstr>
      <vt:lpstr>показники І кв</vt:lpstr>
      <vt:lpstr>Лист4</vt:lpstr>
      <vt:lpstr>звіт ІІ кв</vt:lpstr>
      <vt:lpstr>показники ІІ кв</vt:lpstr>
      <vt:lpstr>звіт ІІІ кв</vt:lpstr>
      <vt:lpstr>показники ІІІ кв</vt:lpstr>
      <vt:lpstr>фін-ня ІV кварта 2019 року</vt:lpstr>
      <vt:lpstr>'2019'!Область_печати</vt:lpstr>
      <vt:lpstr>'звіт І кв'!Область_печати</vt:lpstr>
      <vt:lpstr>'звіт ІІ кв'!Область_печати</vt:lpstr>
      <vt:lpstr>'звіт ІІІ кв'!Область_печати</vt:lpstr>
      <vt:lpstr>'показники 6 міс'!Область_печати</vt:lpstr>
      <vt:lpstr>'показники І кв'!Область_печати</vt:lpstr>
      <vt:lpstr>'показники ІІ кв'!Область_печати</vt:lpstr>
      <vt:lpstr>'показники ІІІ кв'!Область_печати</vt:lpstr>
      <vt:lpstr>'титул ІІ кв'!Область_печати</vt:lpstr>
      <vt:lpstr>'показники 6 міс'!станвиконаннязаходів</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2017-07-19T09:14:21Z</cp:lastPrinted>
  <dcterms:created xsi:type="dcterms:W3CDTF">2006-09-28T05:33:49Z</dcterms:created>
  <dcterms:modified xsi:type="dcterms:W3CDTF">2020-02-03T15:08:52Z</dcterms:modified>
</cp:coreProperties>
</file>